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10" windowWidth="19420" windowHeight="9290" activeTab="1"/>
  </bookViews>
  <sheets>
    <sheet name="523" sheetId="3" r:id="rId1"/>
    <sheet name="Summary" sheetId="4" r:id="rId2"/>
  </sheets>
  <definedNames>
    <definedName name="_xlnm._FilterDatabase" localSheetId="0" hidden="1">'523'!$A$1:$T$121</definedName>
  </definedNames>
  <calcPr calcId="144525" iterateDelta="1E-4"/>
</workbook>
</file>

<file path=xl/calcChain.xml><?xml version="1.0" encoding="utf-8"?>
<calcChain xmlns="http://schemas.openxmlformats.org/spreadsheetml/2006/main">
  <c r="AF15" i="4" l="1"/>
  <c r="AG15" i="4"/>
  <c r="AH15" i="4"/>
  <c r="AI15" i="4"/>
  <c r="AE15" i="4"/>
  <c r="AJ15" i="4" l="1"/>
  <c r="AB12" i="4"/>
  <c r="AA12" i="4"/>
  <c r="Z12" i="4"/>
  <c r="Y12" i="4"/>
  <c r="X12" i="4"/>
  <c r="AB11" i="4"/>
  <c r="AA11" i="4"/>
  <c r="Z11" i="4"/>
  <c r="Y11" i="4"/>
  <c r="X11" i="4"/>
  <c r="AB10" i="4"/>
  <c r="AA10" i="4"/>
  <c r="Z10" i="4"/>
  <c r="Y10" i="4"/>
  <c r="X10" i="4"/>
  <c r="AB9" i="4"/>
  <c r="AA9" i="4"/>
  <c r="Z9" i="4"/>
  <c r="Y9" i="4"/>
  <c r="X9" i="4"/>
  <c r="AB8" i="4"/>
  <c r="AA8" i="4"/>
  <c r="Z8" i="4"/>
  <c r="Y8" i="4"/>
  <c r="X8" i="4"/>
  <c r="AB7" i="4"/>
  <c r="AA7" i="4"/>
  <c r="Z7" i="4"/>
  <c r="Y7" i="4"/>
  <c r="X7" i="4"/>
  <c r="AB6" i="4"/>
  <c r="AA6" i="4"/>
  <c r="Z6" i="4"/>
  <c r="Y6" i="4"/>
  <c r="X6" i="4"/>
  <c r="AB5" i="4"/>
  <c r="AA5" i="4"/>
  <c r="Y5" i="4"/>
  <c r="X5" i="4"/>
  <c r="AB4" i="4"/>
  <c r="AA4" i="4"/>
  <c r="Z4" i="4"/>
  <c r="Y4" i="4"/>
  <c r="X4" i="4"/>
  <c r="Z5" i="4"/>
  <c r="U122" i="3"/>
  <c r="S122" i="3"/>
  <c r="U12" i="4"/>
  <c r="T12" i="4"/>
  <c r="S12" i="4"/>
  <c r="R12" i="4"/>
  <c r="Q12" i="4"/>
  <c r="U11" i="4"/>
  <c r="T11" i="4"/>
  <c r="S11" i="4"/>
  <c r="R11" i="4"/>
  <c r="Q11" i="4"/>
  <c r="U10" i="4"/>
  <c r="T10" i="4"/>
  <c r="S10" i="4"/>
  <c r="R10" i="4"/>
  <c r="Q10" i="4"/>
  <c r="U9" i="4"/>
  <c r="T9" i="4"/>
  <c r="S9" i="4"/>
  <c r="R9" i="4"/>
  <c r="Q9" i="4"/>
  <c r="U8" i="4"/>
  <c r="T8" i="4"/>
  <c r="S8" i="4"/>
  <c r="R8" i="4"/>
  <c r="Q8" i="4"/>
  <c r="U7" i="4"/>
  <c r="T7" i="4"/>
  <c r="S7" i="4"/>
  <c r="R7" i="4"/>
  <c r="Q7" i="4"/>
  <c r="U6" i="4"/>
  <c r="T6" i="4"/>
  <c r="S6" i="4"/>
  <c r="R6" i="4"/>
  <c r="Q6" i="4"/>
  <c r="U5" i="4"/>
  <c r="T5" i="4"/>
  <c r="S5" i="4"/>
  <c r="R5" i="4"/>
  <c r="Q5" i="4"/>
  <c r="U4" i="4"/>
  <c r="T4" i="4"/>
  <c r="S4" i="4"/>
  <c r="R4" i="4"/>
  <c r="Q4" i="4"/>
  <c r="K10" i="4"/>
  <c r="L10" i="4"/>
  <c r="N10" i="4"/>
  <c r="M10" i="4"/>
  <c r="I122" i="3"/>
  <c r="E12" i="4"/>
  <c r="E11" i="4"/>
  <c r="AG11" i="4" s="1"/>
  <c r="E10" i="4"/>
  <c r="E9" i="4"/>
  <c r="E8" i="4"/>
  <c r="E7" i="4"/>
  <c r="AG7" i="4" s="1"/>
  <c r="E6" i="4"/>
  <c r="E5" i="4"/>
  <c r="AG5" i="4" s="1"/>
  <c r="E4" i="4"/>
  <c r="AG4" i="4" s="1"/>
  <c r="G12" i="4"/>
  <c r="AI12" i="4" s="1"/>
  <c r="G11" i="4"/>
  <c r="G10" i="4"/>
  <c r="G9" i="4"/>
  <c r="G8" i="4"/>
  <c r="AI8" i="4" s="1"/>
  <c r="G7" i="4"/>
  <c r="G6" i="4"/>
  <c r="G5" i="4"/>
  <c r="G4" i="4"/>
  <c r="D12" i="4"/>
  <c r="F12" i="4"/>
  <c r="F11" i="4"/>
  <c r="F10" i="4"/>
  <c r="F9" i="4"/>
  <c r="F8" i="4"/>
  <c r="F7" i="4"/>
  <c r="F6" i="4"/>
  <c r="AH6" i="4" s="1"/>
  <c r="F5" i="4"/>
  <c r="F4" i="4"/>
  <c r="AH4" i="4" s="1"/>
  <c r="D11" i="4"/>
  <c r="D10" i="4"/>
  <c r="D9" i="4"/>
  <c r="D8" i="4"/>
  <c r="AF8" i="4" s="1"/>
  <c r="D7" i="4"/>
  <c r="D6" i="4"/>
  <c r="D5" i="4"/>
  <c r="D4" i="4"/>
  <c r="AF4" i="4" s="1"/>
  <c r="C12" i="4"/>
  <c r="C11" i="4"/>
  <c r="C10" i="4"/>
  <c r="C9" i="4"/>
  <c r="AE9" i="4" s="1"/>
  <c r="C8" i="4"/>
  <c r="C7" i="4"/>
  <c r="C6" i="4"/>
  <c r="C5" i="4"/>
  <c r="AE5" i="4" s="1"/>
  <c r="C4" i="4"/>
  <c r="AF5" i="4" l="1"/>
  <c r="AE7" i="4"/>
  <c r="AE11" i="4"/>
  <c r="AF6" i="4"/>
  <c r="AF10" i="4"/>
  <c r="AH10" i="4"/>
  <c r="R13" i="4"/>
  <c r="Y13" i="4"/>
  <c r="AH8" i="4"/>
  <c r="AH12" i="4"/>
  <c r="AI6" i="4"/>
  <c r="AI10" i="4"/>
  <c r="AG9" i="4"/>
  <c r="T13" i="4"/>
  <c r="AA13" i="4"/>
  <c r="AE6" i="4"/>
  <c r="AE10" i="4"/>
  <c r="AF9" i="4"/>
  <c r="AH5" i="4"/>
  <c r="AH9" i="4"/>
  <c r="AF12" i="4"/>
  <c r="AI7" i="4"/>
  <c r="AI11" i="4"/>
  <c r="AG6" i="4"/>
  <c r="AG10" i="4"/>
  <c r="AG13" i="4" s="1"/>
  <c r="Q13" i="4"/>
  <c r="U13" i="4"/>
  <c r="AB13" i="4"/>
  <c r="AE8" i="4"/>
  <c r="AE12" i="4"/>
  <c r="AF7" i="4"/>
  <c r="AF11" i="4"/>
  <c r="AH7" i="4"/>
  <c r="AH11" i="4"/>
  <c r="AI5" i="4"/>
  <c r="AI9" i="4"/>
  <c r="AG8" i="4"/>
  <c r="AG12" i="4"/>
  <c r="G13" i="4"/>
  <c r="X13" i="4"/>
  <c r="C13" i="4"/>
  <c r="S13" i="4"/>
  <c r="Z13" i="4"/>
  <c r="F13" i="4"/>
  <c r="D13" i="4"/>
  <c r="AE4" i="4"/>
  <c r="AI4" i="4"/>
  <c r="N13" i="4"/>
  <c r="M13" i="4"/>
  <c r="L13" i="4"/>
  <c r="K13" i="4"/>
  <c r="J13" i="4"/>
  <c r="E13" i="4"/>
  <c r="AE13" i="4" l="1"/>
  <c r="AF13" i="4"/>
  <c r="AH13" i="4"/>
  <c r="U16" i="4"/>
  <c r="AI13" i="4"/>
  <c r="AB16" i="4"/>
  <c r="N16" i="4"/>
  <c r="G16" i="4"/>
  <c r="AI16" i="4" l="1"/>
  <c r="AH16" i="4"/>
</calcChain>
</file>

<file path=xl/sharedStrings.xml><?xml version="1.0" encoding="utf-8"?>
<sst xmlns="http://schemas.openxmlformats.org/spreadsheetml/2006/main" count="796" uniqueCount="266">
  <si>
    <t>Sr. No</t>
  </si>
  <si>
    <t>Dept</t>
  </si>
  <si>
    <t>Year</t>
  </si>
  <si>
    <t>Registration number/roll number for the exam</t>
  </si>
  <si>
    <t>Names of students selected/ qualified</t>
  </si>
  <si>
    <t>NET</t>
  </si>
  <si>
    <t>SLET</t>
  </si>
  <si>
    <t>GATE</t>
  </si>
  <si>
    <t>GMAT</t>
  </si>
  <si>
    <t>CAT</t>
  </si>
  <si>
    <t>GRE</t>
  </si>
  <si>
    <t>JAM</t>
  </si>
  <si>
    <t>IELET</t>
  </si>
  <si>
    <t>TOEFL</t>
  </si>
  <si>
    <t>Civil Services</t>
  </si>
  <si>
    <t>State government examinations</t>
  </si>
  <si>
    <t>Other examinations conducted by the State / Central Government Agencies (Specify)</t>
  </si>
  <si>
    <t>Civil</t>
  </si>
  <si>
    <t>2015-2016</t>
  </si>
  <si>
    <t>CE16S52093015</t>
  </si>
  <si>
    <t>Vishal Patil</t>
  </si>
  <si>
    <t>Sonali Harne (WRD)</t>
  </si>
  <si>
    <t>Mayur Pardeshi (WRD)</t>
  </si>
  <si>
    <t>Neeta Dudhbahte (JE)</t>
  </si>
  <si>
    <t>Sharda Kailas Khodke (WCD)</t>
  </si>
  <si>
    <t>PWD_JE_0024654</t>
  </si>
  <si>
    <t>Shailesh Sabale (PWD)</t>
  </si>
  <si>
    <t>Computer</t>
  </si>
  <si>
    <t>CMAT-1187489879</t>
  </si>
  <si>
    <t>Nivedita U Singh(cmat)</t>
  </si>
  <si>
    <t>CS16S52092106</t>
  </si>
  <si>
    <t>Trimbake Priyanka Kishor</t>
  </si>
  <si>
    <t>E&amp;TC</t>
  </si>
  <si>
    <t>Jagarwal Deepak</t>
  </si>
  <si>
    <t>Prerna Kale</t>
  </si>
  <si>
    <t>IT</t>
  </si>
  <si>
    <t>CS16S52035010</t>
  </si>
  <si>
    <t>Wagh Navnath Baban</t>
  </si>
  <si>
    <t>2016-2017</t>
  </si>
  <si>
    <t>CE17S72074109</t>
  </si>
  <si>
    <t>Rushikesh Raut</t>
  </si>
  <si>
    <t>CE17S72071151</t>
  </si>
  <si>
    <t>Impal Rahul</t>
  </si>
  <si>
    <t>CE17S72071227</t>
  </si>
  <si>
    <t>Jadhav Vaishali</t>
  </si>
  <si>
    <t>CE18S72091111</t>
  </si>
  <si>
    <t>Naik Prachi Jaikrushna</t>
  </si>
  <si>
    <t>Patil  Alkesh  Amrut (BMC)</t>
  </si>
  <si>
    <t>Sonawane  Santosh  Yuvraj (BMC)</t>
  </si>
  <si>
    <t>Gaikwad Yuvraj Pandurang (PWD)</t>
  </si>
  <si>
    <t>Gangode  Sandip  Namdev (PWD)</t>
  </si>
  <si>
    <t>Yewale  Anil  Shivaji (PWD)</t>
  </si>
  <si>
    <t>Tandale  Bhagyashri  Shivanand (PWD)</t>
  </si>
  <si>
    <t>Varpe  Sheetal  Dattatraya (PWD)</t>
  </si>
  <si>
    <t>Deore  Sopan  Kadu (PWD)</t>
  </si>
  <si>
    <t>PN002404</t>
  </si>
  <si>
    <t>Shaikh  Javed  Gulab (MPSC)</t>
  </si>
  <si>
    <t>PN002099</t>
  </si>
  <si>
    <t>Chaudhari  Harshali  Chandar (MPSC)</t>
  </si>
  <si>
    <t>PN003014</t>
  </si>
  <si>
    <t>Raut  Rushikesh  Goraksha (CE, Shrigonda Nagar Parishad)</t>
  </si>
  <si>
    <t>31/2017</t>
  </si>
  <si>
    <t>Raut  Rushikesh  Goraksha (ZP)</t>
  </si>
  <si>
    <t>Khemnar  Pratibha  Sakharam (MAHATRANSCO)</t>
  </si>
  <si>
    <t>Pawar Prasad Ashok (BMC)</t>
  </si>
  <si>
    <t>Pawar Prasad Ashok (RRB)</t>
  </si>
  <si>
    <t>Kawade Rajesh (RRB)</t>
  </si>
  <si>
    <t>Dighe Devendra (RRB)</t>
  </si>
  <si>
    <t>CS17S62029058</t>
  </si>
  <si>
    <t>Kharde Prasad Nanasaheb</t>
  </si>
  <si>
    <t>CS17S62071684</t>
  </si>
  <si>
    <t>Satpute Gajanan Purushotam</t>
  </si>
  <si>
    <t>MBA CET-5101080362</t>
  </si>
  <si>
    <t>Deepali Prakash Sonawane(MBA-CET)</t>
  </si>
  <si>
    <t>Kaustubh Goraksha Raut</t>
  </si>
  <si>
    <t>Neha Nitin Deshmukh</t>
  </si>
  <si>
    <t>Electrical</t>
  </si>
  <si>
    <t>EE16S82092244</t>
  </si>
  <si>
    <t>Shubham Ghodeshwar</t>
  </si>
  <si>
    <t>Dhiraj Dargad</t>
  </si>
  <si>
    <t>CS17S62072229</t>
  </si>
  <si>
    <t>Mechanical</t>
  </si>
  <si>
    <t>ME17522026011</t>
  </si>
  <si>
    <t>Prerana Shinde</t>
  </si>
  <si>
    <t>ME17105696</t>
  </si>
  <si>
    <t>Londhe  Aarti  Ashok(ME-CET)</t>
  </si>
  <si>
    <t>MB17122049</t>
  </si>
  <si>
    <t>Nawale Chetan B. (MBA-CET)</t>
  </si>
  <si>
    <t>ME17111775</t>
  </si>
  <si>
    <t>Salve Mohanraj Arvind (ME-CET)</t>
  </si>
  <si>
    <t>ME17102632</t>
  </si>
  <si>
    <t>Gunjal Sagar Balasaheb (ME-CET)</t>
  </si>
  <si>
    <t>ME17100671</t>
  </si>
  <si>
    <t>Chaudhari Harshal Shaligram (ME-CET)</t>
  </si>
  <si>
    <t>Pradhan Vaibhav Shriram</t>
  </si>
  <si>
    <t>Production</t>
  </si>
  <si>
    <t>PI17S32071037</t>
  </si>
  <si>
    <t>Wankhede Shubham Bhaurao</t>
  </si>
  <si>
    <t>PI17S32071013</t>
  </si>
  <si>
    <t>Adhav Darshan Sandesh</t>
  </si>
  <si>
    <t>PI17S32065016</t>
  </si>
  <si>
    <t>Indurkar Ankit Vithhal</t>
  </si>
  <si>
    <t>2017-2018</t>
  </si>
  <si>
    <t>CE19S82099096</t>
  </si>
  <si>
    <t>Solanke Vaibhav</t>
  </si>
  <si>
    <t>CE19S82099041</t>
  </si>
  <si>
    <t>Gunjal Rahul</t>
  </si>
  <si>
    <t>CE19S82033006</t>
  </si>
  <si>
    <t>Garje Tushar</t>
  </si>
  <si>
    <t>CE19S82033015</t>
  </si>
  <si>
    <t>Karale Akshay</t>
  </si>
  <si>
    <t>CE19S82027045</t>
  </si>
  <si>
    <t>PN001450</t>
  </si>
  <si>
    <t>Gunjal Rahul (MPSC)</t>
  </si>
  <si>
    <t>Karale Akshay (BMC)</t>
  </si>
  <si>
    <t>11201003442APTM9601N</t>
  </si>
  <si>
    <t>Anand Tanwar (PWD)</t>
  </si>
  <si>
    <t>CS18S32100077</t>
  </si>
  <si>
    <t>Varale Rahul Sahebrao</t>
  </si>
  <si>
    <t>CS18S32100099</t>
  </si>
  <si>
    <t>Priyanka Rajendra Bokand</t>
  </si>
  <si>
    <t>EE17S62026048</t>
  </si>
  <si>
    <t>Mahesh Shinde</t>
  </si>
  <si>
    <t>ME18S23011377</t>
  </si>
  <si>
    <t>Pansare  Shubham  Bhaskar</t>
  </si>
  <si>
    <t>ME18S23006196</t>
  </si>
  <si>
    <t>Patil  Kiran  Suresh</t>
  </si>
  <si>
    <t>ME18S13006720</t>
  </si>
  <si>
    <t>Nehe  Roshan  Ramesh</t>
  </si>
  <si>
    <t>ME18S12096027</t>
  </si>
  <si>
    <t>Hrushikesh Ajit Kulkarni</t>
  </si>
  <si>
    <t>ME18S13010261</t>
  </si>
  <si>
    <t>Pitale  Akshay  Ajit</t>
  </si>
  <si>
    <t>ME18S22047033</t>
  </si>
  <si>
    <t>Lavagale  Shubham  Rajendra</t>
  </si>
  <si>
    <t>ME18S11417639</t>
  </si>
  <si>
    <t>Bafna  Shubham  Ajit</t>
  </si>
  <si>
    <t>ME18S22095053</t>
  </si>
  <si>
    <t>Darade Umesh Sanjay</t>
  </si>
  <si>
    <t>ME18S22099056</t>
  </si>
  <si>
    <t>Atul Vishwanath Wable</t>
  </si>
  <si>
    <t>ME18S12096005</t>
  </si>
  <si>
    <t>Shivam Manoj Negi</t>
  </si>
  <si>
    <t>ME18S13010397</t>
  </si>
  <si>
    <t>Sangale  Aishwarya  Bhimraj</t>
  </si>
  <si>
    <t>ME18S22113125</t>
  </si>
  <si>
    <t>Sahu  Varun  Ramesh</t>
  </si>
  <si>
    <t>ME18S23022111</t>
  </si>
  <si>
    <t>Nikam Rucha Nivrutti</t>
  </si>
  <si>
    <t>ME18S22100073</t>
  </si>
  <si>
    <t>Amit Ashok Naikwadi</t>
  </si>
  <si>
    <t>ME18S12096134</t>
  </si>
  <si>
    <t>Jondhale Ravindra Satu</t>
  </si>
  <si>
    <t>ME18S12096187</t>
  </si>
  <si>
    <t>Tushar Pramod Kapadnis</t>
  </si>
  <si>
    <t>ME18S22033026</t>
  </si>
  <si>
    <t>Kolpe Kishor Nana</t>
  </si>
  <si>
    <t>ME18S22058358</t>
  </si>
  <si>
    <t>Narwade  Kamlesh  Nagsen</t>
  </si>
  <si>
    <t>ME18S22109198</t>
  </si>
  <si>
    <t>Shubham Ramdas Buchunde</t>
  </si>
  <si>
    <t>ME18102836</t>
  </si>
  <si>
    <t>Dighe Akshaykumar Vishwanath (ME-CET)</t>
  </si>
  <si>
    <t>PI18S22094074</t>
  </si>
  <si>
    <t>Hase Sandesh Bharat</t>
  </si>
  <si>
    <t>PI18S22096038</t>
  </si>
  <si>
    <t>Rahinj Suraj Shivaji</t>
  </si>
  <si>
    <t>PI18S22035012</t>
  </si>
  <si>
    <t>More Suyog Madhav</t>
  </si>
  <si>
    <t>PI18S22034004</t>
  </si>
  <si>
    <t>Talole Mayur Vasantrao</t>
  </si>
  <si>
    <t>2018-2019</t>
  </si>
  <si>
    <t>CE19S82073026</t>
  </si>
  <si>
    <t>Kuwar Swati</t>
  </si>
  <si>
    <t>CE19S82073012</t>
  </si>
  <si>
    <t>Kuldeep Bidgar</t>
  </si>
  <si>
    <t>CE19S82052031</t>
  </si>
  <si>
    <t>Pinate Suraj</t>
  </si>
  <si>
    <t>CS19S32073081</t>
  </si>
  <si>
    <t>CS19S32072368</t>
  </si>
  <si>
    <t>Abhishek Kalyan Wakchaure</t>
  </si>
  <si>
    <t>CS19S32073071</t>
  </si>
  <si>
    <t>Sachin Bansraj Gupta</t>
  </si>
  <si>
    <t>CS19S32072625</t>
  </si>
  <si>
    <t>Rutuparna Pradip Garud</t>
  </si>
  <si>
    <t>EE18S62043393</t>
  </si>
  <si>
    <t>Balraj Borude</t>
  </si>
  <si>
    <t>EE18S62098008</t>
  </si>
  <si>
    <t>Nivrutti Garje</t>
  </si>
  <si>
    <t>CS19S32081508</t>
  </si>
  <si>
    <t>Ankit Brajbhushan Prasad</t>
  </si>
  <si>
    <t>ME19S22073057</t>
  </si>
  <si>
    <t>Jadhav Omkar Pratap</t>
  </si>
  <si>
    <t>ME19S22073011</t>
  </si>
  <si>
    <t>Kokane Akshay Gangadhar</t>
  </si>
  <si>
    <t>ME19S22028074</t>
  </si>
  <si>
    <t>Raskar Sonali Vitthal</t>
  </si>
  <si>
    <t>ME19S12075069</t>
  </si>
  <si>
    <t>Kulthe Bhushan Dattatray</t>
  </si>
  <si>
    <t>ME19S22027029</t>
  </si>
  <si>
    <t>Dalvi Rushikesh Bandu</t>
  </si>
  <si>
    <t>ME19S22075101</t>
  </si>
  <si>
    <t>Kotpalliwar Ganraj Pravin</t>
  </si>
  <si>
    <t>ME19S12075001</t>
  </si>
  <si>
    <t>Kadlag  Akshay  Shivaji</t>
  </si>
  <si>
    <t>2019-2020</t>
  </si>
  <si>
    <t>CE20S72066005</t>
  </si>
  <si>
    <t>Abhijit Dighe</t>
  </si>
  <si>
    <t>CS20S62064713</t>
  </si>
  <si>
    <t>Bhagyashree Sandip Walve</t>
  </si>
  <si>
    <t>CS20S62064533</t>
  </si>
  <si>
    <t>Tushar Prabhakar Gopale</t>
  </si>
  <si>
    <t>CS20S62066046</t>
  </si>
  <si>
    <t>Supriya Uttam Pawar</t>
  </si>
  <si>
    <t>Jyoti Fatangare</t>
  </si>
  <si>
    <t>CS20S62055274</t>
  </si>
  <si>
    <t>Durgesh Abhay Kadwe</t>
  </si>
  <si>
    <t>ME20S11405006</t>
  </si>
  <si>
    <t>Akshay Gangadhar Kokane</t>
  </si>
  <si>
    <t>ME20S12024154</t>
  </si>
  <si>
    <t xml:space="preserve">Gardas Akshay </t>
  </si>
  <si>
    <t>ME20S21405268</t>
  </si>
  <si>
    <t>ME20S12064514</t>
  </si>
  <si>
    <t>ME20S22064634</t>
  </si>
  <si>
    <t>Jayesh Ravindra Nikam</t>
  </si>
  <si>
    <t>ME20S23006519</t>
  </si>
  <si>
    <t>Rushikesh Bandu Dalvi</t>
  </si>
  <si>
    <t>ME20S13041345</t>
  </si>
  <si>
    <t>Sagar Sanjay Shinde</t>
  </si>
  <si>
    <t>ME20S12066089</t>
  </si>
  <si>
    <t>Faisal Hidayat Pathan</t>
  </si>
  <si>
    <t>PI20S22044004</t>
  </si>
  <si>
    <t>Sushant Ramesh Lolge</t>
  </si>
  <si>
    <t>PI20S22064087</t>
  </si>
  <si>
    <t>Anil Sopan Bhabad</t>
  </si>
  <si>
    <t>PI20S22065016</t>
  </si>
  <si>
    <t>Abhijit Raju Shinde</t>
  </si>
  <si>
    <t>sge</t>
  </si>
  <si>
    <t>A</t>
  </si>
  <si>
    <t>C</t>
  </si>
  <si>
    <t>B</t>
  </si>
  <si>
    <t>Other</t>
  </si>
  <si>
    <t>D</t>
  </si>
  <si>
    <t xml:space="preserve">5.2.3 Average percentage of students qualifying in state/national/ international level examinations during the last five years (eg: JAM/GATE/ CLAT/GMAT/CAT/GRE/ TOEFL/ Civil Services/State government examinations, etc.) (05)
</t>
  </si>
  <si>
    <t>15-16</t>
  </si>
  <si>
    <t>16-17</t>
  </si>
  <si>
    <t>17-18</t>
  </si>
  <si>
    <t>18-19</t>
  </si>
  <si>
    <t>19-20</t>
  </si>
  <si>
    <t xml:space="preserve">Electrical </t>
  </si>
  <si>
    <t>Electronics</t>
  </si>
  <si>
    <t>ETC</t>
  </si>
  <si>
    <t>MBA</t>
  </si>
  <si>
    <t>Total</t>
  </si>
  <si>
    <t>Other examinations conducted by the State / Central Government Agencies</t>
  </si>
  <si>
    <t>CE</t>
  </si>
  <si>
    <t>Comp</t>
  </si>
  <si>
    <t>EE</t>
  </si>
  <si>
    <t>ME</t>
  </si>
  <si>
    <t>PE</t>
  </si>
  <si>
    <t>`</t>
  </si>
  <si>
    <t>Students qualifying all type of examinations</t>
  </si>
  <si>
    <t>Number of students appeared</t>
  </si>
  <si>
    <r>
      <t>Percentage per year</t>
    </r>
    <r>
      <rPr>
        <b/>
        <sz val="12"/>
        <color rgb="FF000000"/>
        <rFont val="Book Antiqua"/>
        <family val="1"/>
      </rPr>
      <t xml:space="preserve"> </t>
    </r>
  </si>
  <si>
    <t xml:space="preserve">Total Students qualified </t>
  </si>
  <si>
    <t>Avg. % for last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</si>
</sst>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Book Antiqua"/>
      <family val="1"/>
    </font>
    <font>
      <sz val="12"/>
      <name val="Book Antiqua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wrapText="1"/>
    </xf>
    <xf numFmtId="0" fontId="7" fillId="5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/>
    </xf>
    <xf numFmtId="164" fontId="7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GATE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Summary!$B$13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Summary!$C$13:$G$13</c:f>
              <c:numCache>
                <c:formatCode>General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31</c:v>
                </c:pt>
                <c:pt idx="3">
                  <c:v>17</c:v>
                </c:pt>
                <c:pt idx="4">
                  <c:v>16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958720"/>
        <c:axId val="249172736"/>
      </c:barChart>
      <c:catAx>
        <c:axId val="26895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49172736"/>
        <c:crosses val="autoZero"/>
        <c:auto val="1"/>
        <c:lblAlgn val="ctr"/>
        <c:lblOffset val="100"/>
        <c:noMultiLvlLbl val="0"/>
      </c:catAx>
      <c:valAx>
        <c:axId val="249172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8958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IELET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Summary!$I$13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Summary!$J$3:$N$3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Summary!$J$13:$N$13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9187328"/>
        <c:axId val="249214848"/>
      </c:barChart>
      <c:catAx>
        <c:axId val="24918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49214848"/>
        <c:crosses val="autoZero"/>
        <c:auto val="1"/>
        <c:lblAlgn val="ctr"/>
        <c:lblOffset val="100"/>
        <c:noMultiLvlLbl val="0"/>
      </c:catAx>
      <c:valAx>
        <c:axId val="249214848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1873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State government examinations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Summary!$P$13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Summary!$Q$3:$U$3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Summary!$Q$13:$U$13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0615296"/>
        <c:axId val="270617984"/>
      </c:barChart>
      <c:catAx>
        <c:axId val="27061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270617984"/>
        <c:crosses val="autoZero"/>
        <c:auto val="1"/>
        <c:lblAlgn val="ctr"/>
        <c:lblOffset val="100"/>
        <c:noMultiLvlLbl val="0"/>
      </c:catAx>
      <c:valAx>
        <c:axId val="27061798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0615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Other examinations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Summary!$W$13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Summary!$X$3:$AB$3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Summary!$X$13:$AB$13</c:f>
              <c:numCache>
                <c:formatCode>General</c:formatCode>
                <c:ptCount val="5"/>
                <c:pt idx="0">
                  <c:v>6</c:v>
                </c:pt>
                <c:pt idx="1">
                  <c:v>17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0625024"/>
        <c:axId val="270656640"/>
      </c:barChart>
      <c:catAx>
        <c:axId val="27062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70656640"/>
        <c:crosses val="autoZero"/>
        <c:auto val="1"/>
        <c:lblAlgn val="ctr"/>
        <c:lblOffset val="100"/>
        <c:noMultiLvlLbl val="0"/>
      </c:catAx>
      <c:valAx>
        <c:axId val="27065664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06250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Students qualifying all type of examinations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Summary!$AD$13</c:f>
              <c:strCache>
                <c:ptCount val="1"/>
                <c:pt idx="0">
                  <c:v>Total Students qualified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Summary!$AE$3:$AI$3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Summary!$AE$13:$AI$13</c:f>
              <c:numCache>
                <c:formatCode>General</c:formatCode>
                <c:ptCount val="5"/>
                <c:pt idx="0">
                  <c:v>11</c:v>
                </c:pt>
                <c:pt idx="1">
                  <c:v>39</c:v>
                </c:pt>
                <c:pt idx="2">
                  <c:v>35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0415744"/>
        <c:axId val="270426880"/>
      </c:barChart>
      <c:catAx>
        <c:axId val="27041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70426880"/>
        <c:crosses val="autoZero"/>
        <c:auto val="1"/>
        <c:lblAlgn val="ctr"/>
        <c:lblOffset val="100"/>
        <c:noMultiLvlLbl val="0"/>
      </c:catAx>
      <c:valAx>
        <c:axId val="27042688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0415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0"/>
          <c:tx>
            <c:strRef>
              <c:f>Summary!$AD$15</c:f>
              <c:strCache>
                <c:ptCount val="1"/>
                <c:pt idx="0">
                  <c:v>Percentage per year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78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Summary!$AE$3:$AJ$3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Avg. % for last five Years</c:v>
                </c:pt>
              </c:strCache>
            </c:strRef>
          </c:cat>
          <c:val>
            <c:numRef>
              <c:f>Summary!$AE$15:$AJ$15</c:f>
              <c:numCache>
                <c:formatCode>0.0</c:formatCode>
                <c:ptCount val="6"/>
                <c:pt idx="0">
                  <c:v>34.375</c:v>
                </c:pt>
                <c:pt idx="1">
                  <c:v>46.987951807228917</c:v>
                </c:pt>
                <c:pt idx="2">
                  <c:v>50</c:v>
                </c:pt>
                <c:pt idx="3">
                  <c:v>53.125</c:v>
                </c:pt>
                <c:pt idx="4">
                  <c:v>50</c:v>
                </c:pt>
                <c:pt idx="5">
                  <c:v>46.897590361445779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32864"/>
        <c:axId val="44818816"/>
      </c:barChart>
      <c:catAx>
        <c:axId val="42932864"/>
        <c:scaling>
          <c:orientation val="minMax"/>
        </c:scaling>
        <c:delete val="0"/>
        <c:axPos val="b"/>
        <c:majorTickMark val="out"/>
        <c:minorTickMark val="none"/>
        <c:tickLblPos val="nextTo"/>
        <c:crossAx val="44818816"/>
        <c:crosses val="autoZero"/>
        <c:auto val="1"/>
        <c:lblAlgn val="ctr"/>
        <c:lblOffset val="100"/>
        <c:noMultiLvlLbl val="0"/>
      </c:catAx>
      <c:valAx>
        <c:axId val="448188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29328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15</xdr:row>
      <xdr:rowOff>190499</xdr:rowOff>
    </xdr:from>
    <xdr:to>
      <xdr:col>6</xdr:col>
      <xdr:colOff>333375</xdr:colOff>
      <xdr:row>25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15</xdr:row>
      <xdr:rowOff>171450</xdr:rowOff>
    </xdr:from>
    <xdr:to>
      <xdr:col>13</xdr:col>
      <xdr:colOff>390525</xdr:colOff>
      <xdr:row>25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19050</xdr:colOff>
      <xdr:row>15</xdr:row>
      <xdr:rowOff>161926</xdr:rowOff>
    </xdr:from>
    <xdr:to>
      <xdr:col>20</xdr:col>
      <xdr:colOff>361950</xdr:colOff>
      <xdr:row>25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104775</xdr:colOff>
      <xdr:row>15</xdr:row>
      <xdr:rowOff>161926</xdr:rowOff>
    </xdr:from>
    <xdr:to>
      <xdr:col>27</xdr:col>
      <xdr:colOff>314325</xdr:colOff>
      <xdr:row>25</xdr:row>
      <xdr:rowOff>28576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123823</xdr:colOff>
      <xdr:row>16</xdr:row>
      <xdr:rowOff>9525</xdr:rowOff>
    </xdr:from>
    <xdr:to>
      <xdr:col>36</xdr:col>
      <xdr:colOff>514349</xdr:colOff>
      <xdr:row>25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276225</xdr:colOff>
      <xdr:row>27</xdr:row>
      <xdr:rowOff>161925</xdr:rowOff>
    </xdr:from>
    <xdr:to>
      <xdr:col>35</xdr:col>
      <xdr:colOff>460375</xdr:colOff>
      <xdr:row>42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2"/>
  <sheetViews>
    <sheetView topLeftCell="C1" workbookViewId="0">
      <selection activeCell="T4" sqref="T4"/>
    </sheetView>
  </sheetViews>
  <sheetFormatPr defaultRowHeight="14.5" x14ac:dyDescent="0.35"/>
  <cols>
    <col min="1" max="1" width="7.1796875" bestFit="1" customWidth="1"/>
    <col min="2" max="3" width="10.81640625" bestFit="1" customWidth="1"/>
    <col min="4" max="4" width="11" bestFit="1" customWidth="1"/>
    <col min="5" max="5" width="23.7265625" customWidth="1"/>
    <col min="6" max="6" width="5.54296875" bestFit="1" customWidth="1"/>
    <col min="7" max="7" width="6.54296875" bestFit="1" customWidth="1"/>
    <col min="10" max="10" width="8" bestFit="1" customWidth="1"/>
    <col min="11" max="11" width="5.54296875" bestFit="1" customWidth="1"/>
    <col min="12" max="12" width="5.81640625" bestFit="1" customWidth="1"/>
    <col min="13" max="13" width="6" bestFit="1" customWidth="1"/>
    <col min="14" max="14" width="9.7265625" customWidth="1"/>
    <col min="16" max="16" width="8.26953125" bestFit="1" customWidth="1"/>
  </cols>
  <sheetData>
    <row r="1" spans="1:37" ht="15.5" x14ac:dyDescent="0.35">
      <c r="A1" s="35" t="s">
        <v>0</v>
      </c>
      <c r="B1" s="35" t="s">
        <v>1</v>
      </c>
      <c r="C1" s="35" t="s">
        <v>1</v>
      </c>
      <c r="D1" s="36" t="s">
        <v>2</v>
      </c>
      <c r="E1" s="36" t="s">
        <v>3</v>
      </c>
      <c r="F1" s="36" t="s">
        <v>4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8"/>
    </row>
    <row r="2" spans="1:37" ht="103.5" customHeight="1" x14ac:dyDescent="0.35">
      <c r="A2" s="35"/>
      <c r="B2" s="35"/>
      <c r="C2" s="35"/>
      <c r="D2" s="35"/>
      <c r="E2" s="36"/>
      <c r="F2" s="2" t="s">
        <v>5</v>
      </c>
      <c r="G2" s="2" t="s">
        <v>6</v>
      </c>
      <c r="H2" s="2" t="s">
        <v>7</v>
      </c>
      <c r="I2" s="11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1" t="s">
        <v>12</v>
      </c>
      <c r="P2" s="2" t="s">
        <v>13</v>
      </c>
      <c r="Q2" s="1" t="s">
        <v>14</v>
      </c>
      <c r="R2" s="1" t="s">
        <v>15</v>
      </c>
      <c r="S2" s="17" t="s">
        <v>237</v>
      </c>
      <c r="T2" s="1" t="s">
        <v>16</v>
      </c>
      <c r="U2" s="16" t="s">
        <v>241</v>
      </c>
      <c r="W2" s="34" t="s">
        <v>243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18" customHeight="1" x14ac:dyDescent="0.25">
      <c r="A3" s="3">
        <v>1</v>
      </c>
      <c r="B3" s="3" t="s">
        <v>17</v>
      </c>
      <c r="C3" s="3" t="s">
        <v>255</v>
      </c>
      <c r="D3" s="4" t="s">
        <v>18</v>
      </c>
      <c r="E3" s="5" t="s">
        <v>19</v>
      </c>
      <c r="F3" s="5"/>
      <c r="G3" s="5"/>
      <c r="H3" s="5" t="s">
        <v>20</v>
      </c>
      <c r="I3" s="12" t="s">
        <v>238</v>
      </c>
      <c r="J3" s="5"/>
      <c r="K3" s="5"/>
      <c r="L3" s="5"/>
      <c r="M3" s="5"/>
      <c r="N3" s="5"/>
      <c r="O3" s="12"/>
      <c r="P3" s="5"/>
      <c r="Q3" s="5"/>
      <c r="R3" s="5"/>
      <c r="S3" s="12"/>
      <c r="T3" s="6"/>
      <c r="U3" s="19"/>
    </row>
    <row r="4" spans="1:37" ht="18" customHeight="1" x14ac:dyDescent="0.25">
      <c r="A4" s="3">
        <v>2</v>
      </c>
      <c r="B4" s="3" t="s">
        <v>17</v>
      </c>
      <c r="C4" s="3" t="s">
        <v>255</v>
      </c>
      <c r="D4" s="4" t="s">
        <v>18</v>
      </c>
      <c r="E4" s="5">
        <v>335</v>
      </c>
      <c r="F4" s="5"/>
      <c r="G4" s="5"/>
      <c r="H4" s="5"/>
      <c r="I4" s="12"/>
      <c r="J4" s="5"/>
      <c r="K4" s="5"/>
      <c r="L4" s="5"/>
      <c r="M4" s="5"/>
      <c r="N4" s="5"/>
      <c r="O4" s="12"/>
      <c r="P4" s="5"/>
      <c r="Q4" s="5"/>
      <c r="R4" s="5"/>
      <c r="S4" s="12"/>
      <c r="T4" s="6" t="s">
        <v>21</v>
      </c>
      <c r="U4" s="19" t="s">
        <v>242</v>
      </c>
    </row>
    <row r="5" spans="1:37" ht="18" customHeight="1" x14ac:dyDescent="0.25">
      <c r="A5" s="3">
        <v>3</v>
      </c>
      <c r="B5" s="3" t="s">
        <v>17</v>
      </c>
      <c r="C5" s="3" t="s">
        <v>255</v>
      </c>
      <c r="D5" s="4" t="s">
        <v>18</v>
      </c>
      <c r="E5" s="5">
        <v>153</v>
      </c>
      <c r="F5" s="5"/>
      <c r="G5" s="5"/>
      <c r="H5" s="5"/>
      <c r="I5" s="12"/>
      <c r="J5" s="5"/>
      <c r="K5" s="5"/>
      <c r="L5" s="5"/>
      <c r="M5" s="5"/>
      <c r="N5" s="5"/>
      <c r="O5" s="12"/>
      <c r="P5" s="5"/>
      <c r="Q5" s="5"/>
      <c r="R5" s="5"/>
      <c r="S5" s="12"/>
      <c r="T5" s="6" t="s">
        <v>22</v>
      </c>
      <c r="U5" s="19" t="s">
        <v>242</v>
      </c>
    </row>
    <row r="6" spans="1:37" ht="18" customHeight="1" x14ac:dyDescent="0.25">
      <c r="A6" s="3">
        <v>4</v>
      </c>
      <c r="B6" s="3" t="s">
        <v>17</v>
      </c>
      <c r="C6" s="3" t="s">
        <v>255</v>
      </c>
      <c r="D6" s="4" t="s">
        <v>18</v>
      </c>
      <c r="E6" s="5">
        <v>1032</v>
      </c>
      <c r="F6" s="5"/>
      <c r="G6" s="5"/>
      <c r="H6" s="5"/>
      <c r="I6" s="12"/>
      <c r="J6" s="5"/>
      <c r="K6" s="5"/>
      <c r="L6" s="5"/>
      <c r="M6" s="5"/>
      <c r="N6" s="5"/>
      <c r="O6" s="12"/>
      <c r="P6" s="5"/>
      <c r="Q6" s="5"/>
      <c r="R6" s="5"/>
      <c r="S6" s="12"/>
      <c r="T6" s="6" t="s">
        <v>23</v>
      </c>
      <c r="U6" s="19" t="s">
        <v>242</v>
      </c>
    </row>
    <row r="7" spans="1:37" ht="18" customHeight="1" x14ac:dyDescent="0.25">
      <c r="A7" s="3">
        <v>5</v>
      </c>
      <c r="B7" s="3" t="s">
        <v>17</v>
      </c>
      <c r="C7" s="3" t="s">
        <v>255</v>
      </c>
      <c r="D7" s="4" t="s">
        <v>18</v>
      </c>
      <c r="E7" s="5">
        <v>709</v>
      </c>
      <c r="F7" s="5"/>
      <c r="G7" s="5"/>
      <c r="H7" s="5"/>
      <c r="I7" s="12"/>
      <c r="J7" s="5"/>
      <c r="K7" s="5"/>
      <c r="L7" s="5"/>
      <c r="M7" s="5"/>
      <c r="N7" s="5"/>
      <c r="O7" s="12"/>
      <c r="P7" s="5"/>
      <c r="Q7" s="5"/>
      <c r="R7" s="5"/>
      <c r="S7" s="12"/>
      <c r="T7" s="6" t="s">
        <v>24</v>
      </c>
      <c r="U7" s="19" t="s">
        <v>242</v>
      </c>
    </row>
    <row r="8" spans="1:37" ht="18" customHeight="1" x14ac:dyDescent="0.35">
      <c r="A8" s="3">
        <v>6</v>
      </c>
      <c r="B8" s="3" t="s">
        <v>17</v>
      </c>
      <c r="C8" s="3" t="s">
        <v>255</v>
      </c>
      <c r="D8" s="4" t="s">
        <v>18</v>
      </c>
      <c r="E8" s="5" t="s">
        <v>25</v>
      </c>
      <c r="F8" s="5"/>
      <c r="G8" s="5"/>
      <c r="H8" s="5"/>
      <c r="I8" s="12"/>
      <c r="J8" s="5"/>
      <c r="K8" s="5"/>
      <c r="L8" s="5"/>
      <c r="M8" s="5"/>
      <c r="N8" s="5"/>
      <c r="O8" s="12"/>
      <c r="P8" s="5"/>
      <c r="Q8" s="5"/>
      <c r="R8" s="5"/>
      <c r="S8" s="12"/>
      <c r="T8" s="6" t="s">
        <v>26</v>
      </c>
      <c r="U8" s="19" t="s">
        <v>242</v>
      </c>
    </row>
    <row r="9" spans="1:37" ht="18" customHeight="1" x14ac:dyDescent="0.35">
      <c r="A9" s="3">
        <v>7</v>
      </c>
      <c r="B9" s="3" t="s">
        <v>27</v>
      </c>
      <c r="C9" s="3" t="s">
        <v>256</v>
      </c>
      <c r="D9" s="4" t="s">
        <v>18</v>
      </c>
      <c r="E9" s="7" t="s">
        <v>28</v>
      </c>
      <c r="F9" s="7"/>
      <c r="G9" s="7"/>
      <c r="H9" s="7"/>
      <c r="I9" s="13"/>
      <c r="J9" s="7"/>
      <c r="K9" s="7"/>
      <c r="L9" s="7"/>
      <c r="M9" s="7"/>
      <c r="N9" s="7"/>
      <c r="O9" s="13"/>
      <c r="P9" s="7"/>
      <c r="Q9" s="7"/>
      <c r="R9" s="7"/>
      <c r="S9" s="13"/>
      <c r="T9" s="7" t="s">
        <v>29</v>
      </c>
      <c r="U9" s="19" t="s">
        <v>242</v>
      </c>
    </row>
    <row r="10" spans="1:37" ht="18" customHeight="1" x14ac:dyDescent="0.35">
      <c r="A10" s="3">
        <v>8</v>
      </c>
      <c r="B10" s="3" t="s">
        <v>27</v>
      </c>
      <c r="C10" s="3" t="s">
        <v>256</v>
      </c>
      <c r="D10" s="4" t="s">
        <v>18</v>
      </c>
      <c r="E10" s="7" t="s">
        <v>30</v>
      </c>
      <c r="F10" s="7"/>
      <c r="G10" s="7"/>
      <c r="H10" s="7" t="s">
        <v>31</v>
      </c>
      <c r="I10" s="13" t="s">
        <v>238</v>
      </c>
      <c r="J10" s="7"/>
      <c r="K10" s="7"/>
      <c r="L10" s="7"/>
      <c r="M10" s="7"/>
      <c r="N10" s="7"/>
      <c r="O10" s="13"/>
      <c r="P10" s="7"/>
      <c r="Q10" s="7"/>
      <c r="R10" s="7"/>
      <c r="S10" s="13"/>
      <c r="T10" s="7"/>
      <c r="U10" s="20"/>
    </row>
    <row r="11" spans="1:37" ht="18" customHeight="1" x14ac:dyDescent="0.35">
      <c r="A11" s="3">
        <v>9</v>
      </c>
      <c r="B11" s="3" t="s">
        <v>32</v>
      </c>
      <c r="C11" s="3" t="s">
        <v>251</v>
      </c>
      <c r="D11" s="4" t="s">
        <v>18</v>
      </c>
      <c r="E11" s="7"/>
      <c r="F11" s="7"/>
      <c r="G11" s="7"/>
      <c r="H11" s="7"/>
      <c r="I11" s="13"/>
      <c r="J11" s="7"/>
      <c r="K11" s="7"/>
      <c r="L11" s="7"/>
      <c r="M11" s="7"/>
      <c r="N11" s="7"/>
      <c r="O11" s="13"/>
      <c r="P11" s="7"/>
      <c r="Q11" s="7"/>
      <c r="R11" s="7" t="s">
        <v>33</v>
      </c>
      <c r="S11" s="13" t="s">
        <v>239</v>
      </c>
      <c r="T11" s="7"/>
      <c r="U11" s="19"/>
    </row>
    <row r="12" spans="1:37" ht="18" customHeight="1" x14ac:dyDescent="0.35">
      <c r="A12" s="3">
        <v>10</v>
      </c>
      <c r="B12" s="3" t="s">
        <v>32</v>
      </c>
      <c r="C12" s="3" t="s">
        <v>251</v>
      </c>
      <c r="D12" s="4" t="s">
        <v>18</v>
      </c>
      <c r="E12" s="7"/>
      <c r="F12" s="7"/>
      <c r="G12" s="7"/>
      <c r="H12" s="7"/>
      <c r="I12" s="13"/>
      <c r="J12" s="7"/>
      <c r="K12" s="7"/>
      <c r="L12" s="7"/>
      <c r="M12" s="7"/>
      <c r="N12" s="7"/>
      <c r="O12" s="13"/>
      <c r="P12" s="7"/>
      <c r="Q12" s="7"/>
      <c r="R12" s="7" t="s">
        <v>34</v>
      </c>
      <c r="S12" s="13" t="s">
        <v>239</v>
      </c>
      <c r="T12" s="7"/>
      <c r="U12" s="19"/>
    </row>
    <row r="13" spans="1:37" ht="18" customHeight="1" x14ac:dyDescent="0.35">
      <c r="A13" s="3">
        <v>11</v>
      </c>
      <c r="B13" s="3" t="s">
        <v>35</v>
      </c>
      <c r="C13" s="3" t="s">
        <v>35</v>
      </c>
      <c r="D13" s="3" t="s">
        <v>18</v>
      </c>
      <c r="E13" s="7" t="s">
        <v>36</v>
      </c>
      <c r="F13" s="8"/>
      <c r="G13" s="7"/>
      <c r="H13" s="7" t="s">
        <v>37</v>
      </c>
      <c r="I13" s="13" t="s">
        <v>238</v>
      </c>
      <c r="J13" s="7"/>
      <c r="K13" s="7"/>
      <c r="L13" s="7"/>
      <c r="M13" s="7"/>
      <c r="N13" s="7"/>
      <c r="O13" s="13"/>
      <c r="P13" s="7"/>
      <c r="Q13" s="7"/>
      <c r="R13" s="7"/>
      <c r="S13" s="13"/>
      <c r="T13" s="7"/>
      <c r="U13" s="19"/>
    </row>
    <row r="14" spans="1:37" ht="18" customHeight="1" x14ac:dyDescent="0.35">
      <c r="A14" s="3">
        <v>12</v>
      </c>
      <c r="B14" s="3" t="s">
        <v>17</v>
      </c>
      <c r="C14" s="3" t="s">
        <v>255</v>
      </c>
      <c r="D14" s="4" t="s">
        <v>38</v>
      </c>
      <c r="E14" s="5" t="s">
        <v>39</v>
      </c>
      <c r="F14" s="5"/>
      <c r="G14" s="5"/>
      <c r="H14" s="5" t="s">
        <v>40</v>
      </c>
      <c r="I14" s="12" t="s">
        <v>238</v>
      </c>
      <c r="J14" s="5"/>
      <c r="K14" s="5"/>
      <c r="L14" s="5"/>
      <c r="M14" s="5"/>
      <c r="N14" s="5"/>
      <c r="O14" s="12"/>
      <c r="P14" s="5"/>
      <c r="Q14" s="5"/>
      <c r="R14" s="5"/>
      <c r="S14" s="12"/>
      <c r="T14" s="6"/>
      <c r="U14" s="20"/>
    </row>
    <row r="15" spans="1:37" ht="18" customHeight="1" x14ac:dyDescent="0.35">
      <c r="A15" s="3">
        <v>13</v>
      </c>
      <c r="B15" s="3" t="s">
        <v>17</v>
      </c>
      <c r="C15" s="3" t="s">
        <v>255</v>
      </c>
      <c r="D15" s="4" t="s">
        <v>38</v>
      </c>
      <c r="E15" s="5" t="s">
        <v>41</v>
      </c>
      <c r="F15" s="5"/>
      <c r="G15" s="5"/>
      <c r="H15" s="5" t="s">
        <v>42</v>
      </c>
      <c r="I15" s="12" t="s">
        <v>238</v>
      </c>
      <c r="J15" s="5"/>
      <c r="K15" s="5"/>
      <c r="L15" s="5"/>
      <c r="M15" s="5"/>
      <c r="N15" s="5"/>
      <c r="O15" s="12"/>
      <c r="P15" s="5"/>
      <c r="Q15" s="5"/>
      <c r="R15" s="5"/>
      <c r="S15" s="12"/>
      <c r="T15" s="6"/>
      <c r="U15" s="19"/>
    </row>
    <row r="16" spans="1:37" ht="18" customHeight="1" x14ac:dyDescent="0.35">
      <c r="A16" s="3">
        <v>14</v>
      </c>
      <c r="B16" s="3" t="s">
        <v>17</v>
      </c>
      <c r="C16" s="3" t="s">
        <v>255</v>
      </c>
      <c r="D16" s="4" t="s">
        <v>38</v>
      </c>
      <c r="E16" s="5" t="s">
        <v>43</v>
      </c>
      <c r="F16" s="5"/>
      <c r="G16" s="5"/>
      <c r="H16" s="5" t="s">
        <v>44</v>
      </c>
      <c r="I16" s="12" t="s">
        <v>238</v>
      </c>
      <c r="J16" s="5"/>
      <c r="K16" s="5"/>
      <c r="L16" s="5"/>
      <c r="M16" s="5"/>
      <c r="N16" s="5"/>
      <c r="O16" s="12"/>
      <c r="P16" s="5"/>
      <c r="Q16" s="5"/>
      <c r="R16" s="5"/>
      <c r="S16" s="12"/>
      <c r="T16" s="6"/>
      <c r="U16" s="19"/>
    </row>
    <row r="17" spans="1:21" ht="18" customHeight="1" x14ac:dyDescent="0.35">
      <c r="A17" s="3">
        <v>15</v>
      </c>
      <c r="B17" s="3" t="s">
        <v>17</v>
      </c>
      <c r="C17" s="3" t="s">
        <v>255</v>
      </c>
      <c r="D17" s="4" t="s">
        <v>38</v>
      </c>
      <c r="E17" s="5" t="s">
        <v>45</v>
      </c>
      <c r="F17" s="5"/>
      <c r="G17" s="5"/>
      <c r="H17" s="5" t="s">
        <v>46</v>
      </c>
      <c r="I17" s="12" t="s">
        <v>238</v>
      </c>
      <c r="J17" s="5"/>
      <c r="K17" s="5"/>
      <c r="L17" s="5"/>
      <c r="M17" s="5"/>
      <c r="N17" s="5"/>
      <c r="O17" s="12"/>
      <c r="P17" s="5"/>
      <c r="Q17" s="5"/>
      <c r="R17" s="5"/>
      <c r="S17" s="12"/>
      <c r="T17" s="6"/>
      <c r="U17" s="19"/>
    </row>
    <row r="18" spans="1:21" ht="18" customHeight="1" x14ac:dyDescent="0.35">
      <c r="A18" s="3">
        <v>16</v>
      </c>
      <c r="B18" s="3" t="s">
        <v>17</v>
      </c>
      <c r="C18" s="3" t="s">
        <v>255</v>
      </c>
      <c r="D18" s="4" t="s">
        <v>38</v>
      </c>
      <c r="E18" s="5">
        <v>1420000578</v>
      </c>
      <c r="F18" s="5"/>
      <c r="G18" s="5"/>
      <c r="H18" s="5"/>
      <c r="I18" s="12"/>
      <c r="J18" s="5"/>
      <c r="K18" s="5"/>
      <c r="L18" s="5"/>
      <c r="M18" s="5"/>
      <c r="N18" s="5"/>
      <c r="O18" s="12"/>
      <c r="P18" s="5"/>
      <c r="Q18" s="5"/>
      <c r="R18" s="5"/>
      <c r="S18" s="12"/>
      <c r="T18" s="6" t="s">
        <v>47</v>
      </c>
      <c r="U18" s="19" t="s">
        <v>242</v>
      </c>
    </row>
    <row r="19" spans="1:21" ht="18" customHeight="1" x14ac:dyDescent="0.35">
      <c r="A19" s="3">
        <v>17</v>
      </c>
      <c r="B19" s="3" t="s">
        <v>17</v>
      </c>
      <c r="C19" s="3" t="s">
        <v>255</v>
      </c>
      <c r="D19" s="4" t="s">
        <v>38</v>
      </c>
      <c r="E19" s="5">
        <v>1410000232</v>
      </c>
      <c r="F19" s="5"/>
      <c r="G19" s="5"/>
      <c r="H19" s="5"/>
      <c r="I19" s="12"/>
      <c r="J19" s="5"/>
      <c r="K19" s="5"/>
      <c r="L19" s="5"/>
      <c r="M19" s="5"/>
      <c r="N19" s="5"/>
      <c r="O19" s="12"/>
      <c r="P19" s="5"/>
      <c r="Q19" s="5"/>
      <c r="R19" s="5"/>
      <c r="S19" s="12"/>
      <c r="T19" s="6" t="s">
        <v>48</v>
      </c>
      <c r="U19" s="19" t="s">
        <v>242</v>
      </c>
    </row>
    <row r="20" spans="1:21" ht="18" customHeight="1" x14ac:dyDescent="0.35">
      <c r="A20" s="3">
        <v>18</v>
      </c>
      <c r="B20" s="3" t="s">
        <v>17</v>
      </c>
      <c r="C20" s="3" t="s">
        <v>255</v>
      </c>
      <c r="D20" s="4" t="s">
        <v>38</v>
      </c>
      <c r="E20" s="5">
        <v>140</v>
      </c>
      <c r="F20" s="5"/>
      <c r="G20" s="5"/>
      <c r="H20" s="5"/>
      <c r="I20" s="12"/>
      <c r="J20" s="5"/>
      <c r="K20" s="5"/>
      <c r="L20" s="5"/>
      <c r="M20" s="5"/>
      <c r="N20" s="5"/>
      <c r="O20" s="12"/>
      <c r="P20" s="5"/>
      <c r="Q20" s="5"/>
      <c r="R20" s="5"/>
      <c r="S20" s="12"/>
      <c r="T20" s="6" t="s">
        <v>49</v>
      </c>
      <c r="U20" s="19" t="s">
        <v>242</v>
      </c>
    </row>
    <row r="21" spans="1:21" ht="18" customHeight="1" x14ac:dyDescent="0.35">
      <c r="A21" s="3">
        <v>19</v>
      </c>
      <c r="B21" s="3" t="s">
        <v>17</v>
      </c>
      <c r="C21" s="3" t="s">
        <v>255</v>
      </c>
      <c r="D21" s="4" t="s">
        <v>38</v>
      </c>
      <c r="E21" s="5">
        <v>123819</v>
      </c>
      <c r="F21" s="5"/>
      <c r="G21" s="5"/>
      <c r="H21" s="5"/>
      <c r="I21" s="12"/>
      <c r="J21" s="5"/>
      <c r="K21" s="5"/>
      <c r="L21" s="5"/>
      <c r="M21" s="5"/>
      <c r="N21" s="5"/>
      <c r="O21" s="12"/>
      <c r="P21" s="5"/>
      <c r="Q21" s="5"/>
      <c r="R21" s="5"/>
      <c r="S21" s="12"/>
      <c r="T21" s="6" t="s">
        <v>50</v>
      </c>
      <c r="U21" s="19" t="s">
        <v>242</v>
      </c>
    </row>
    <row r="22" spans="1:21" ht="18" customHeight="1" x14ac:dyDescent="0.35">
      <c r="A22" s="3">
        <v>20</v>
      </c>
      <c r="B22" s="3" t="s">
        <v>17</v>
      </c>
      <c r="C22" s="3" t="s">
        <v>255</v>
      </c>
      <c r="D22" s="4" t="s">
        <v>38</v>
      </c>
      <c r="E22" s="5">
        <v>138</v>
      </c>
      <c r="F22" s="5"/>
      <c r="G22" s="5"/>
      <c r="H22" s="5"/>
      <c r="I22" s="12"/>
      <c r="J22" s="5"/>
      <c r="K22" s="5"/>
      <c r="L22" s="5"/>
      <c r="M22" s="5"/>
      <c r="N22" s="5"/>
      <c r="O22" s="12"/>
      <c r="P22" s="5"/>
      <c r="Q22" s="5"/>
      <c r="R22" s="5"/>
      <c r="S22" s="12"/>
      <c r="T22" s="6" t="s">
        <v>51</v>
      </c>
      <c r="U22" s="19" t="s">
        <v>242</v>
      </c>
    </row>
    <row r="23" spans="1:21" ht="18" customHeight="1" x14ac:dyDescent="0.35">
      <c r="A23" s="3">
        <v>21</v>
      </c>
      <c r="B23" s="3" t="s">
        <v>17</v>
      </c>
      <c r="C23" s="3" t="s">
        <v>255</v>
      </c>
      <c r="D23" s="4" t="s">
        <v>38</v>
      </c>
      <c r="E23" s="5">
        <v>292</v>
      </c>
      <c r="F23" s="5"/>
      <c r="G23" s="5"/>
      <c r="H23" s="5"/>
      <c r="I23" s="12"/>
      <c r="J23" s="5"/>
      <c r="K23" s="5"/>
      <c r="L23" s="5"/>
      <c r="M23" s="5"/>
      <c r="N23" s="5"/>
      <c r="O23" s="12"/>
      <c r="P23" s="5"/>
      <c r="Q23" s="5"/>
      <c r="R23" s="5"/>
      <c r="S23" s="12"/>
      <c r="T23" s="6" t="s">
        <v>52</v>
      </c>
      <c r="U23" s="19" t="s">
        <v>242</v>
      </c>
    </row>
    <row r="24" spans="1:21" ht="18" customHeight="1" x14ac:dyDescent="0.35">
      <c r="A24" s="3">
        <v>22</v>
      </c>
      <c r="B24" s="3" t="s">
        <v>17</v>
      </c>
      <c r="C24" s="3" t="s">
        <v>255</v>
      </c>
      <c r="D24" s="4" t="s">
        <v>38</v>
      </c>
      <c r="E24" s="5">
        <v>184</v>
      </c>
      <c r="F24" s="5"/>
      <c r="G24" s="5"/>
      <c r="H24" s="5"/>
      <c r="I24" s="12"/>
      <c r="J24" s="5"/>
      <c r="K24" s="5"/>
      <c r="L24" s="5"/>
      <c r="M24" s="5"/>
      <c r="N24" s="5"/>
      <c r="O24" s="12"/>
      <c r="P24" s="5"/>
      <c r="Q24" s="5"/>
      <c r="R24" s="5"/>
      <c r="S24" s="12"/>
      <c r="T24" s="6" t="s">
        <v>53</v>
      </c>
      <c r="U24" s="19" t="s">
        <v>242</v>
      </c>
    </row>
    <row r="25" spans="1:21" ht="18" customHeight="1" x14ac:dyDescent="0.35">
      <c r="A25" s="3">
        <v>23</v>
      </c>
      <c r="B25" s="3" t="s">
        <v>17</v>
      </c>
      <c r="C25" s="3" t="s">
        <v>255</v>
      </c>
      <c r="D25" s="4" t="s">
        <v>38</v>
      </c>
      <c r="E25" s="5">
        <v>131</v>
      </c>
      <c r="F25" s="5"/>
      <c r="G25" s="5"/>
      <c r="H25" s="5"/>
      <c r="I25" s="12"/>
      <c r="J25" s="5"/>
      <c r="K25" s="5"/>
      <c r="L25" s="5"/>
      <c r="M25" s="5"/>
      <c r="N25" s="5"/>
      <c r="O25" s="12"/>
      <c r="P25" s="5"/>
      <c r="Q25" s="5"/>
      <c r="R25" s="5"/>
      <c r="S25" s="12"/>
      <c r="T25" s="6" t="s">
        <v>54</v>
      </c>
      <c r="U25" s="19" t="s">
        <v>242</v>
      </c>
    </row>
    <row r="26" spans="1:21" ht="18" customHeight="1" x14ac:dyDescent="0.35">
      <c r="A26" s="3">
        <v>24</v>
      </c>
      <c r="B26" s="3" t="s">
        <v>17</v>
      </c>
      <c r="C26" s="3" t="s">
        <v>255</v>
      </c>
      <c r="D26" s="4" t="s">
        <v>38</v>
      </c>
      <c r="E26" s="5" t="s">
        <v>55</v>
      </c>
      <c r="F26" s="5"/>
      <c r="G26" s="5"/>
      <c r="H26" s="5"/>
      <c r="I26" s="12"/>
      <c r="J26" s="5"/>
      <c r="K26" s="5"/>
      <c r="L26" s="5"/>
      <c r="M26" s="5"/>
      <c r="N26" s="5"/>
      <c r="O26" s="12"/>
      <c r="P26" s="5"/>
      <c r="Q26" s="5"/>
      <c r="R26" s="5"/>
      <c r="S26" s="12"/>
      <c r="T26" s="6" t="s">
        <v>56</v>
      </c>
      <c r="U26" s="19" t="s">
        <v>242</v>
      </c>
    </row>
    <row r="27" spans="1:21" ht="18" customHeight="1" x14ac:dyDescent="0.35">
      <c r="A27" s="3">
        <v>25</v>
      </c>
      <c r="B27" s="3" t="s">
        <v>17</v>
      </c>
      <c r="C27" s="3" t="s">
        <v>255</v>
      </c>
      <c r="D27" s="4" t="s">
        <v>38</v>
      </c>
      <c r="E27" s="5" t="s">
        <v>57</v>
      </c>
      <c r="F27" s="5"/>
      <c r="G27" s="5"/>
      <c r="H27" s="5"/>
      <c r="I27" s="12"/>
      <c r="J27" s="5"/>
      <c r="K27" s="5"/>
      <c r="L27" s="5"/>
      <c r="M27" s="5"/>
      <c r="N27" s="5"/>
      <c r="O27" s="12"/>
      <c r="P27" s="5"/>
      <c r="Q27" s="5"/>
      <c r="R27" s="5"/>
      <c r="S27" s="12"/>
      <c r="T27" s="6" t="s">
        <v>58</v>
      </c>
      <c r="U27" s="19" t="s">
        <v>242</v>
      </c>
    </row>
    <row r="28" spans="1:21" ht="18" customHeight="1" x14ac:dyDescent="0.35">
      <c r="A28" s="3">
        <v>26</v>
      </c>
      <c r="B28" s="3" t="s">
        <v>17</v>
      </c>
      <c r="C28" s="3" t="s">
        <v>255</v>
      </c>
      <c r="D28" s="4" t="s">
        <v>38</v>
      </c>
      <c r="E28" s="5" t="s">
        <v>59</v>
      </c>
      <c r="F28" s="5"/>
      <c r="G28" s="5"/>
      <c r="H28" s="5"/>
      <c r="I28" s="12"/>
      <c r="J28" s="5"/>
      <c r="K28" s="5"/>
      <c r="L28" s="5"/>
      <c r="M28" s="5"/>
      <c r="N28" s="5"/>
      <c r="O28" s="12"/>
      <c r="P28" s="5"/>
      <c r="Q28" s="5"/>
      <c r="R28" s="5"/>
      <c r="S28" s="12"/>
      <c r="T28" s="6" t="s">
        <v>60</v>
      </c>
      <c r="U28" s="19" t="s">
        <v>242</v>
      </c>
    </row>
    <row r="29" spans="1:21" ht="18" customHeight="1" x14ac:dyDescent="0.35">
      <c r="A29" s="3">
        <v>27</v>
      </c>
      <c r="B29" s="3" t="s">
        <v>17</v>
      </c>
      <c r="C29" s="3" t="s">
        <v>255</v>
      </c>
      <c r="D29" s="4" t="s">
        <v>38</v>
      </c>
      <c r="E29" s="5" t="s">
        <v>61</v>
      </c>
      <c r="F29" s="5"/>
      <c r="G29" s="5"/>
      <c r="H29" s="5"/>
      <c r="I29" s="12"/>
      <c r="J29" s="5"/>
      <c r="K29" s="5"/>
      <c r="L29" s="5"/>
      <c r="M29" s="5"/>
      <c r="N29" s="5"/>
      <c r="O29" s="12"/>
      <c r="P29" s="5"/>
      <c r="Q29" s="5"/>
      <c r="R29" s="5"/>
      <c r="S29" s="12"/>
      <c r="T29" s="6" t="s">
        <v>62</v>
      </c>
      <c r="U29" s="19" t="s">
        <v>242</v>
      </c>
    </row>
    <row r="30" spans="1:21" ht="18" customHeight="1" x14ac:dyDescent="0.35">
      <c r="A30" s="3">
        <v>28</v>
      </c>
      <c r="B30" s="3" t="s">
        <v>17</v>
      </c>
      <c r="C30" s="3" t="s">
        <v>255</v>
      </c>
      <c r="D30" s="4" t="s">
        <v>38</v>
      </c>
      <c r="E30" s="5">
        <v>2220003295</v>
      </c>
      <c r="F30" s="5"/>
      <c r="G30" s="5"/>
      <c r="H30" s="5"/>
      <c r="I30" s="12"/>
      <c r="J30" s="5"/>
      <c r="K30" s="5"/>
      <c r="L30" s="5"/>
      <c r="M30" s="5"/>
      <c r="N30" s="5"/>
      <c r="O30" s="12"/>
      <c r="P30" s="5"/>
      <c r="Q30" s="5"/>
      <c r="R30" s="5"/>
      <c r="S30" s="12"/>
      <c r="T30" s="6" t="s">
        <v>63</v>
      </c>
      <c r="U30" s="19" t="s">
        <v>242</v>
      </c>
    </row>
    <row r="31" spans="1:21" ht="18" customHeight="1" x14ac:dyDescent="0.35">
      <c r="A31" s="3">
        <v>29</v>
      </c>
      <c r="B31" s="3" t="s">
        <v>17</v>
      </c>
      <c r="C31" s="3" t="s">
        <v>255</v>
      </c>
      <c r="D31" s="4" t="s">
        <v>38</v>
      </c>
      <c r="E31" s="5">
        <v>1410001136</v>
      </c>
      <c r="F31" s="5"/>
      <c r="G31" s="5"/>
      <c r="H31" s="5"/>
      <c r="I31" s="12"/>
      <c r="J31" s="5"/>
      <c r="K31" s="5"/>
      <c r="L31" s="5"/>
      <c r="M31" s="5"/>
      <c r="N31" s="5"/>
      <c r="O31" s="12"/>
      <c r="P31" s="5"/>
      <c r="Q31" s="5"/>
      <c r="R31" s="5"/>
      <c r="S31" s="12"/>
      <c r="T31" s="6" t="s">
        <v>64</v>
      </c>
      <c r="U31" s="19" t="s">
        <v>242</v>
      </c>
    </row>
    <row r="32" spans="1:21" ht="18" customHeight="1" x14ac:dyDescent="0.35">
      <c r="A32" s="3">
        <v>30</v>
      </c>
      <c r="B32" s="3" t="s">
        <v>17</v>
      </c>
      <c r="C32" s="3" t="s">
        <v>255</v>
      </c>
      <c r="D32" s="4" t="s">
        <v>38</v>
      </c>
      <c r="E32" s="5">
        <v>243824256281168</v>
      </c>
      <c r="F32" s="5"/>
      <c r="G32" s="5"/>
      <c r="H32" s="5"/>
      <c r="I32" s="12"/>
      <c r="J32" s="5"/>
      <c r="K32" s="5"/>
      <c r="L32" s="5"/>
      <c r="M32" s="5"/>
      <c r="N32" s="5"/>
      <c r="O32" s="12"/>
      <c r="P32" s="5"/>
      <c r="Q32" s="5"/>
      <c r="R32" s="5"/>
      <c r="S32" s="12"/>
      <c r="T32" s="6" t="s">
        <v>65</v>
      </c>
      <c r="U32" s="19" t="s">
        <v>242</v>
      </c>
    </row>
    <row r="33" spans="1:21" ht="18" customHeight="1" x14ac:dyDescent="0.35">
      <c r="A33" s="3">
        <v>31</v>
      </c>
      <c r="B33" s="3" t="s">
        <v>17</v>
      </c>
      <c r="C33" s="3" t="s">
        <v>255</v>
      </c>
      <c r="D33" s="4" t="s">
        <v>38</v>
      </c>
      <c r="E33" s="5">
        <v>243824266171469</v>
      </c>
      <c r="F33" s="5"/>
      <c r="G33" s="5"/>
      <c r="H33" s="5"/>
      <c r="I33" s="12"/>
      <c r="J33" s="5"/>
      <c r="K33" s="5"/>
      <c r="L33" s="5"/>
      <c r="M33" s="5"/>
      <c r="N33" s="5"/>
      <c r="O33" s="12"/>
      <c r="P33" s="5"/>
      <c r="Q33" s="5"/>
      <c r="R33" s="5"/>
      <c r="S33" s="12"/>
      <c r="T33" s="6" t="s">
        <v>66</v>
      </c>
      <c r="U33" s="19" t="s">
        <v>242</v>
      </c>
    </row>
    <row r="34" spans="1:21" ht="18" customHeight="1" x14ac:dyDescent="0.35">
      <c r="A34" s="3">
        <v>32</v>
      </c>
      <c r="B34" s="3" t="s">
        <v>17</v>
      </c>
      <c r="C34" s="3" t="s">
        <v>255</v>
      </c>
      <c r="D34" s="4" t="s">
        <v>38</v>
      </c>
      <c r="E34" s="5">
        <v>243824264141166</v>
      </c>
      <c r="F34" s="5"/>
      <c r="G34" s="5"/>
      <c r="H34" s="5"/>
      <c r="I34" s="12"/>
      <c r="J34" s="5"/>
      <c r="K34" s="5"/>
      <c r="L34" s="5"/>
      <c r="M34" s="5"/>
      <c r="N34" s="5"/>
      <c r="O34" s="12"/>
      <c r="P34" s="5"/>
      <c r="Q34" s="5"/>
      <c r="R34" s="5"/>
      <c r="S34" s="12"/>
      <c r="T34" s="6" t="s">
        <v>67</v>
      </c>
      <c r="U34" s="19" t="s">
        <v>242</v>
      </c>
    </row>
    <row r="35" spans="1:21" ht="18" customHeight="1" x14ac:dyDescent="0.35">
      <c r="A35" s="3">
        <v>33</v>
      </c>
      <c r="B35" s="3" t="s">
        <v>27</v>
      </c>
      <c r="C35" s="3" t="s">
        <v>256</v>
      </c>
      <c r="D35" s="4" t="s">
        <v>38</v>
      </c>
      <c r="E35" s="7" t="s">
        <v>68</v>
      </c>
      <c r="F35" s="7"/>
      <c r="G35" s="7"/>
      <c r="H35" s="7" t="s">
        <v>69</v>
      </c>
      <c r="I35" s="13" t="s">
        <v>238</v>
      </c>
      <c r="J35" s="7"/>
      <c r="K35" s="7"/>
      <c r="L35" s="7"/>
      <c r="M35" s="7"/>
      <c r="N35" s="7"/>
      <c r="O35" s="13"/>
      <c r="P35" s="7"/>
      <c r="Q35" s="7"/>
      <c r="R35" s="7"/>
      <c r="S35" s="13"/>
      <c r="T35" s="7"/>
      <c r="U35" s="19"/>
    </row>
    <row r="36" spans="1:21" ht="18" customHeight="1" x14ac:dyDescent="0.35">
      <c r="A36" s="3">
        <v>34</v>
      </c>
      <c r="B36" s="3" t="s">
        <v>27</v>
      </c>
      <c r="C36" s="3" t="s">
        <v>256</v>
      </c>
      <c r="D36" s="4" t="s">
        <v>38</v>
      </c>
      <c r="E36" s="7" t="s">
        <v>70</v>
      </c>
      <c r="F36" s="7"/>
      <c r="G36" s="7"/>
      <c r="H36" s="7" t="s">
        <v>71</v>
      </c>
      <c r="I36" s="13" t="s">
        <v>238</v>
      </c>
      <c r="J36" s="7"/>
      <c r="K36" s="7"/>
      <c r="L36" s="7"/>
      <c r="M36" s="7"/>
      <c r="N36" s="7"/>
      <c r="O36" s="13"/>
      <c r="P36" s="7"/>
      <c r="Q36" s="7"/>
      <c r="R36" s="7"/>
      <c r="S36" s="13"/>
      <c r="T36" s="7"/>
      <c r="U36" s="19"/>
    </row>
    <row r="37" spans="1:21" ht="18" customHeight="1" x14ac:dyDescent="0.35">
      <c r="A37" s="3">
        <v>35</v>
      </c>
      <c r="B37" s="3" t="s">
        <v>27</v>
      </c>
      <c r="C37" s="3" t="s">
        <v>256</v>
      </c>
      <c r="D37" s="4" t="s">
        <v>38</v>
      </c>
      <c r="E37" s="7" t="s">
        <v>72</v>
      </c>
      <c r="F37" s="7"/>
      <c r="G37" s="7"/>
      <c r="H37" s="7"/>
      <c r="I37" s="13"/>
      <c r="J37" s="7"/>
      <c r="K37" s="7"/>
      <c r="L37" s="7"/>
      <c r="M37" s="7"/>
      <c r="N37" s="7"/>
      <c r="O37" s="13"/>
      <c r="P37" s="7"/>
      <c r="Q37" s="7"/>
      <c r="R37" s="7" t="s">
        <v>73</v>
      </c>
      <c r="S37" s="13" t="s">
        <v>239</v>
      </c>
      <c r="T37" s="7"/>
      <c r="U37" s="19"/>
    </row>
    <row r="38" spans="1:21" ht="18" customHeight="1" x14ac:dyDescent="0.35">
      <c r="A38" s="3">
        <v>36</v>
      </c>
      <c r="B38" s="3" t="s">
        <v>27</v>
      </c>
      <c r="C38" s="3" t="s">
        <v>256</v>
      </c>
      <c r="D38" s="4" t="s">
        <v>38</v>
      </c>
      <c r="E38" s="7">
        <v>4301082888</v>
      </c>
      <c r="F38" s="7"/>
      <c r="G38" s="7"/>
      <c r="H38" s="7"/>
      <c r="I38" s="13"/>
      <c r="J38" s="7"/>
      <c r="K38" s="7"/>
      <c r="L38" s="7"/>
      <c r="M38" s="7"/>
      <c r="N38" s="7"/>
      <c r="O38" s="13"/>
      <c r="P38" s="7"/>
      <c r="Q38" s="7"/>
      <c r="R38" s="7" t="s">
        <v>74</v>
      </c>
      <c r="S38" s="13" t="s">
        <v>239</v>
      </c>
      <c r="T38" s="7"/>
      <c r="U38" s="19"/>
    </row>
    <row r="39" spans="1:21" ht="18" customHeight="1" x14ac:dyDescent="0.35">
      <c r="A39" s="3">
        <v>37</v>
      </c>
      <c r="B39" s="3" t="s">
        <v>27</v>
      </c>
      <c r="C39" s="3" t="s">
        <v>256</v>
      </c>
      <c r="D39" s="4" t="s">
        <v>38</v>
      </c>
      <c r="E39" s="7">
        <v>5101080207</v>
      </c>
      <c r="F39" s="7"/>
      <c r="G39" s="7"/>
      <c r="H39" s="7"/>
      <c r="I39" s="13"/>
      <c r="J39" s="7"/>
      <c r="K39" s="7"/>
      <c r="L39" s="7"/>
      <c r="M39" s="7"/>
      <c r="N39" s="7"/>
      <c r="O39" s="13"/>
      <c r="P39" s="7"/>
      <c r="Q39" s="7"/>
      <c r="R39" s="7" t="s">
        <v>75</v>
      </c>
      <c r="S39" s="13" t="s">
        <v>239</v>
      </c>
      <c r="T39" s="7"/>
      <c r="U39" s="19"/>
    </row>
    <row r="40" spans="1:21" ht="18" customHeight="1" x14ac:dyDescent="0.35">
      <c r="A40" s="3">
        <v>38</v>
      </c>
      <c r="B40" s="3" t="s">
        <v>76</v>
      </c>
      <c r="C40" s="3" t="s">
        <v>257</v>
      </c>
      <c r="D40" s="4" t="s">
        <v>38</v>
      </c>
      <c r="E40" s="7" t="s">
        <v>77</v>
      </c>
      <c r="F40" s="7"/>
      <c r="G40" s="7"/>
      <c r="H40" s="7" t="s">
        <v>78</v>
      </c>
      <c r="I40" s="13" t="s">
        <v>238</v>
      </c>
      <c r="J40" s="7"/>
      <c r="K40" s="7"/>
      <c r="L40" s="7"/>
      <c r="M40" s="7"/>
      <c r="N40" s="7"/>
      <c r="O40" s="13"/>
      <c r="P40" s="7"/>
      <c r="Q40" s="7"/>
      <c r="R40" s="7"/>
      <c r="S40" s="13"/>
      <c r="T40" s="7"/>
      <c r="U40" s="19"/>
    </row>
    <row r="41" spans="1:21" ht="18" customHeight="1" x14ac:dyDescent="0.35">
      <c r="A41" s="3">
        <v>39</v>
      </c>
      <c r="B41" s="3" t="s">
        <v>76</v>
      </c>
      <c r="C41" s="3" t="s">
        <v>257</v>
      </c>
      <c r="D41" s="4" t="s">
        <v>38</v>
      </c>
      <c r="E41" s="7">
        <v>1110217395</v>
      </c>
      <c r="F41" s="7"/>
      <c r="G41" s="7"/>
      <c r="H41" s="7"/>
      <c r="I41" s="13"/>
      <c r="J41" s="7"/>
      <c r="K41" s="7"/>
      <c r="L41" s="7"/>
      <c r="M41" s="7"/>
      <c r="N41" s="7"/>
      <c r="O41" s="13"/>
      <c r="P41" s="7"/>
      <c r="Q41" s="7"/>
      <c r="R41" s="7" t="s">
        <v>79</v>
      </c>
      <c r="S41" s="13" t="s">
        <v>239</v>
      </c>
      <c r="T41" s="7"/>
      <c r="U41" s="19"/>
    </row>
    <row r="42" spans="1:21" ht="18" customHeight="1" x14ac:dyDescent="0.35">
      <c r="A42" s="3">
        <v>40</v>
      </c>
      <c r="B42" s="3" t="s">
        <v>35</v>
      </c>
      <c r="C42" s="3" t="s">
        <v>35</v>
      </c>
      <c r="D42" s="3" t="s">
        <v>38</v>
      </c>
      <c r="E42" s="7" t="s">
        <v>80</v>
      </c>
      <c r="F42" s="8"/>
      <c r="G42" s="7"/>
      <c r="H42" s="7" t="s">
        <v>37</v>
      </c>
      <c r="I42" s="13" t="s">
        <v>238</v>
      </c>
      <c r="J42" s="7"/>
      <c r="K42" s="7"/>
      <c r="L42" s="7"/>
      <c r="M42" s="7"/>
      <c r="N42" s="7"/>
      <c r="O42" s="13"/>
      <c r="P42" s="7"/>
      <c r="Q42" s="7"/>
      <c r="R42" s="7"/>
      <c r="S42" s="13"/>
      <c r="T42" s="7"/>
      <c r="U42" s="19"/>
    </row>
    <row r="43" spans="1:21" ht="18" customHeight="1" x14ac:dyDescent="0.35">
      <c r="A43" s="3">
        <v>41</v>
      </c>
      <c r="B43" s="3" t="s">
        <v>81</v>
      </c>
      <c r="C43" s="3" t="s">
        <v>258</v>
      </c>
      <c r="D43" s="3" t="s">
        <v>38</v>
      </c>
      <c r="E43" s="7" t="s">
        <v>82</v>
      </c>
      <c r="F43" s="7"/>
      <c r="G43" s="7"/>
      <c r="H43" s="5" t="s">
        <v>83</v>
      </c>
      <c r="I43" s="12" t="s">
        <v>238</v>
      </c>
      <c r="J43" s="7"/>
      <c r="K43" s="7"/>
      <c r="L43" s="7"/>
      <c r="M43" s="7"/>
      <c r="N43" s="7"/>
      <c r="O43" s="13"/>
      <c r="P43" s="7"/>
      <c r="Q43" s="7"/>
      <c r="R43" s="7"/>
      <c r="S43" s="13"/>
      <c r="T43" s="7"/>
      <c r="U43" s="19"/>
    </row>
    <row r="44" spans="1:21" ht="18" customHeight="1" x14ac:dyDescent="0.35">
      <c r="A44" s="3">
        <v>42</v>
      </c>
      <c r="B44" s="3" t="s">
        <v>81</v>
      </c>
      <c r="C44" s="3" t="s">
        <v>258</v>
      </c>
      <c r="D44" s="3" t="s">
        <v>38</v>
      </c>
      <c r="E44" s="7" t="s">
        <v>84</v>
      </c>
      <c r="F44" s="7"/>
      <c r="G44" s="7"/>
      <c r="H44" s="5"/>
      <c r="I44" s="12"/>
      <c r="J44" s="7"/>
      <c r="K44" s="7"/>
      <c r="L44" s="7"/>
      <c r="M44" s="7"/>
      <c r="N44" s="7"/>
      <c r="O44" s="13"/>
      <c r="P44" s="7"/>
      <c r="Q44" s="7"/>
      <c r="R44" s="7" t="s">
        <v>85</v>
      </c>
      <c r="S44" s="13" t="s">
        <v>239</v>
      </c>
      <c r="T44" s="7"/>
      <c r="U44" s="19"/>
    </row>
    <row r="45" spans="1:21" ht="18" customHeight="1" x14ac:dyDescent="0.35">
      <c r="A45" s="3">
        <v>43</v>
      </c>
      <c r="B45" s="3" t="s">
        <v>81</v>
      </c>
      <c r="C45" s="3" t="s">
        <v>258</v>
      </c>
      <c r="D45" s="3" t="s">
        <v>38</v>
      </c>
      <c r="E45" s="7" t="s">
        <v>86</v>
      </c>
      <c r="F45" s="7"/>
      <c r="G45" s="7"/>
      <c r="H45" s="5"/>
      <c r="I45" s="12"/>
      <c r="J45" s="7"/>
      <c r="K45" s="7"/>
      <c r="L45" s="7"/>
      <c r="M45" s="7"/>
      <c r="N45" s="7"/>
      <c r="O45" s="13"/>
      <c r="P45" s="7"/>
      <c r="Q45" s="7"/>
      <c r="R45" s="7" t="s">
        <v>87</v>
      </c>
      <c r="S45" s="13" t="s">
        <v>239</v>
      </c>
      <c r="T45" s="7"/>
      <c r="U45" s="19"/>
    </row>
    <row r="46" spans="1:21" ht="18" customHeight="1" x14ac:dyDescent="0.35">
      <c r="A46" s="3">
        <v>44</v>
      </c>
      <c r="B46" s="3" t="s">
        <v>81</v>
      </c>
      <c r="C46" s="3" t="s">
        <v>258</v>
      </c>
      <c r="D46" s="3" t="s">
        <v>38</v>
      </c>
      <c r="E46" s="7" t="s">
        <v>88</v>
      </c>
      <c r="F46" s="7"/>
      <c r="G46" s="7"/>
      <c r="H46" s="5"/>
      <c r="I46" s="12"/>
      <c r="J46" s="7"/>
      <c r="K46" s="7"/>
      <c r="L46" s="7"/>
      <c r="M46" s="7"/>
      <c r="N46" s="7"/>
      <c r="O46" s="13"/>
      <c r="P46" s="7"/>
      <c r="Q46" s="7"/>
      <c r="R46" s="7" t="s">
        <v>89</v>
      </c>
      <c r="S46" s="13" t="s">
        <v>239</v>
      </c>
      <c r="T46" s="9"/>
      <c r="U46" s="19"/>
    </row>
    <row r="47" spans="1:21" ht="18" customHeight="1" x14ac:dyDescent="0.35">
      <c r="A47" s="3">
        <v>45</v>
      </c>
      <c r="B47" s="3" t="s">
        <v>81</v>
      </c>
      <c r="C47" s="3" t="s">
        <v>258</v>
      </c>
      <c r="D47" s="3" t="s">
        <v>38</v>
      </c>
      <c r="E47" s="7" t="s">
        <v>90</v>
      </c>
      <c r="F47" s="7"/>
      <c r="G47" s="7"/>
      <c r="H47" s="5"/>
      <c r="I47" s="12"/>
      <c r="J47" s="7"/>
      <c r="K47" s="7"/>
      <c r="L47" s="7"/>
      <c r="M47" s="7"/>
      <c r="N47" s="7"/>
      <c r="O47" s="13"/>
      <c r="P47" s="7"/>
      <c r="Q47" s="7"/>
      <c r="R47" s="7" t="s">
        <v>91</v>
      </c>
      <c r="S47" s="13" t="s">
        <v>239</v>
      </c>
      <c r="T47" s="7"/>
      <c r="U47" s="19"/>
    </row>
    <row r="48" spans="1:21" ht="18" customHeight="1" x14ac:dyDescent="0.35">
      <c r="A48" s="3">
        <v>46</v>
      </c>
      <c r="B48" s="3" t="s">
        <v>81</v>
      </c>
      <c r="C48" s="3" t="s">
        <v>258</v>
      </c>
      <c r="D48" s="3" t="s">
        <v>38</v>
      </c>
      <c r="E48" s="7" t="s">
        <v>92</v>
      </c>
      <c r="F48" s="7"/>
      <c r="G48" s="7"/>
      <c r="H48" s="5"/>
      <c r="I48" s="12"/>
      <c r="J48" s="7"/>
      <c r="K48" s="7"/>
      <c r="L48" s="7"/>
      <c r="M48" s="7"/>
      <c r="N48" s="7"/>
      <c r="O48" s="13"/>
      <c r="P48" s="7"/>
      <c r="Q48" s="7"/>
      <c r="R48" s="7" t="s">
        <v>93</v>
      </c>
      <c r="S48" s="13" t="s">
        <v>239</v>
      </c>
      <c r="T48" s="7"/>
      <c r="U48" s="19"/>
    </row>
    <row r="49" spans="1:21" ht="18" customHeight="1" x14ac:dyDescent="0.35">
      <c r="A49" s="3">
        <v>47</v>
      </c>
      <c r="B49" s="3" t="s">
        <v>81</v>
      </c>
      <c r="C49" s="3" t="s">
        <v>258</v>
      </c>
      <c r="D49" s="3" t="s">
        <v>38</v>
      </c>
      <c r="E49" s="7">
        <v>235074</v>
      </c>
      <c r="F49" s="7"/>
      <c r="G49" s="7"/>
      <c r="H49" s="5"/>
      <c r="I49" s="12"/>
      <c r="J49" s="7"/>
      <c r="K49" s="7"/>
      <c r="L49" s="7"/>
      <c r="M49" s="7"/>
      <c r="N49" s="5" t="s">
        <v>94</v>
      </c>
      <c r="O49" s="12" t="s">
        <v>240</v>
      </c>
      <c r="P49" s="7"/>
      <c r="Q49" s="7"/>
      <c r="R49" s="7"/>
      <c r="S49" s="13"/>
      <c r="T49" s="7"/>
      <c r="U49" s="19"/>
    </row>
    <row r="50" spans="1:21" ht="18" customHeight="1" x14ac:dyDescent="0.35">
      <c r="A50" s="3">
        <v>48</v>
      </c>
      <c r="B50" s="3" t="s">
        <v>95</v>
      </c>
      <c r="C50" s="3" t="s">
        <v>259</v>
      </c>
      <c r="D50" s="3" t="s">
        <v>38</v>
      </c>
      <c r="E50" s="7" t="s">
        <v>96</v>
      </c>
      <c r="F50" s="7"/>
      <c r="G50" s="7"/>
      <c r="H50" s="5" t="s">
        <v>97</v>
      </c>
      <c r="I50" s="12" t="s">
        <v>238</v>
      </c>
      <c r="J50" s="7"/>
      <c r="K50" s="7"/>
      <c r="L50" s="7"/>
      <c r="M50" s="7"/>
      <c r="N50" s="7"/>
      <c r="O50" s="13"/>
      <c r="P50" s="7"/>
      <c r="Q50" s="7"/>
      <c r="R50" s="7"/>
      <c r="S50" s="13"/>
      <c r="T50" s="7"/>
      <c r="U50" s="19"/>
    </row>
    <row r="51" spans="1:21" ht="18" customHeight="1" x14ac:dyDescent="0.35">
      <c r="A51" s="3">
        <v>49</v>
      </c>
      <c r="B51" s="3" t="s">
        <v>95</v>
      </c>
      <c r="C51" s="3" t="s">
        <v>259</v>
      </c>
      <c r="D51" s="3" t="s">
        <v>38</v>
      </c>
      <c r="E51" s="7" t="s">
        <v>98</v>
      </c>
      <c r="F51" s="7"/>
      <c r="G51" s="7"/>
      <c r="H51" s="5" t="s">
        <v>99</v>
      </c>
      <c r="I51" s="12" t="s">
        <v>238</v>
      </c>
      <c r="J51" s="7"/>
      <c r="K51" s="7"/>
      <c r="L51" s="7"/>
      <c r="M51" s="7"/>
      <c r="N51" s="7"/>
      <c r="O51" s="13"/>
      <c r="P51" s="7"/>
      <c r="Q51" s="7"/>
      <c r="R51" s="7"/>
      <c r="S51" s="13"/>
      <c r="T51" s="7"/>
      <c r="U51" s="19"/>
    </row>
    <row r="52" spans="1:21" ht="18" customHeight="1" x14ac:dyDescent="0.35">
      <c r="A52" s="3">
        <v>50</v>
      </c>
      <c r="B52" s="3" t="s">
        <v>95</v>
      </c>
      <c r="C52" s="3" t="s">
        <v>259</v>
      </c>
      <c r="D52" s="3" t="s">
        <v>38</v>
      </c>
      <c r="E52" s="7" t="s">
        <v>100</v>
      </c>
      <c r="F52" s="7"/>
      <c r="G52" s="7"/>
      <c r="H52" s="5" t="s">
        <v>101</v>
      </c>
      <c r="I52" s="12" t="s">
        <v>238</v>
      </c>
      <c r="J52" s="7"/>
      <c r="K52" s="7"/>
      <c r="L52" s="7"/>
      <c r="M52" s="7"/>
      <c r="N52" s="7"/>
      <c r="O52" s="13"/>
      <c r="P52" s="7"/>
      <c r="Q52" s="7"/>
      <c r="R52" s="7"/>
      <c r="S52" s="13"/>
      <c r="T52" s="7"/>
      <c r="U52" s="19"/>
    </row>
    <row r="53" spans="1:21" ht="18" customHeight="1" x14ac:dyDescent="0.35">
      <c r="A53" s="3">
        <v>51</v>
      </c>
      <c r="B53" s="3" t="s">
        <v>17</v>
      </c>
      <c r="C53" s="3" t="s">
        <v>255</v>
      </c>
      <c r="D53" s="4" t="s">
        <v>102</v>
      </c>
      <c r="E53" s="5" t="s">
        <v>103</v>
      </c>
      <c r="F53" s="5"/>
      <c r="G53" s="5"/>
      <c r="H53" s="6" t="s">
        <v>104</v>
      </c>
      <c r="I53" s="14" t="s">
        <v>238</v>
      </c>
      <c r="J53" s="5"/>
      <c r="K53" s="5"/>
      <c r="L53" s="5"/>
      <c r="M53" s="5"/>
      <c r="N53" s="5"/>
      <c r="O53" s="12"/>
      <c r="P53" s="5"/>
      <c r="Q53" s="5"/>
      <c r="R53" s="5"/>
      <c r="S53" s="12"/>
      <c r="T53" s="6"/>
      <c r="U53" s="19"/>
    </row>
    <row r="54" spans="1:21" ht="18" customHeight="1" x14ac:dyDescent="0.35">
      <c r="A54" s="3">
        <v>52</v>
      </c>
      <c r="B54" s="3" t="s">
        <v>17</v>
      </c>
      <c r="C54" s="3" t="s">
        <v>255</v>
      </c>
      <c r="D54" s="4" t="s">
        <v>102</v>
      </c>
      <c r="E54" s="5" t="s">
        <v>105</v>
      </c>
      <c r="F54" s="5"/>
      <c r="G54" s="5"/>
      <c r="H54" s="6" t="s">
        <v>106</v>
      </c>
      <c r="I54" s="14" t="s">
        <v>238</v>
      </c>
      <c r="J54" s="5"/>
      <c r="K54" s="5"/>
      <c r="L54" s="5"/>
      <c r="M54" s="5"/>
      <c r="N54" s="5"/>
      <c r="O54" s="12"/>
      <c r="P54" s="5"/>
      <c r="Q54" s="5"/>
      <c r="R54" s="5"/>
      <c r="S54" s="12"/>
      <c r="T54" s="6"/>
      <c r="U54" s="19"/>
    </row>
    <row r="55" spans="1:21" ht="18" customHeight="1" x14ac:dyDescent="0.35">
      <c r="A55" s="3">
        <v>53</v>
      </c>
      <c r="B55" s="3" t="s">
        <v>17</v>
      </c>
      <c r="C55" s="3" t="s">
        <v>255</v>
      </c>
      <c r="D55" s="4" t="s">
        <v>102</v>
      </c>
      <c r="E55" s="5" t="s">
        <v>107</v>
      </c>
      <c r="F55" s="5"/>
      <c r="G55" s="5"/>
      <c r="H55" s="6" t="s">
        <v>108</v>
      </c>
      <c r="I55" s="14" t="s">
        <v>238</v>
      </c>
      <c r="J55" s="5"/>
      <c r="K55" s="5"/>
      <c r="L55" s="5"/>
      <c r="M55" s="5"/>
      <c r="N55" s="5"/>
      <c r="O55" s="12"/>
      <c r="P55" s="5"/>
      <c r="Q55" s="5"/>
      <c r="R55" s="5"/>
      <c r="S55" s="12"/>
      <c r="T55" s="6"/>
      <c r="U55" s="19"/>
    </row>
    <row r="56" spans="1:21" ht="18" customHeight="1" x14ac:dyDescent="0.35">
      <c r="A56" s="3">
        <v>54</v>
      </c>
      <c r="B56" s="3" t="s">
        <v>17</v>
      </c>
      <c r="C56" s="3" t="s">
        <v>255</v>
      </c>
      <c r="D56" s="4" t="s">
        <v>102</v>
      </c>
      <c r="E56" s="5" t="s">
        <v>109</v>
      </c>
      <c r="F56" s="5"/>
      <c r="G56" s="5"/>
      <c r="H56" s="6" t="s">
        <v>110</v>
      </c>
      <c r="I56" s="14" t="s">
        <v>238</v>
      </c>
      <c r="J56" s="5"/>
      <c r="K56" s="5"/>
      <c r="L56" s="5"/>
      <c r="M56" s="5"/>
      <c r="N56" s="5"/>
      <c r="O56" s="12"/>
      <c r="P56" s="5"/>
      <c r="Q56" s="5"/>
      <c r="R56" s="5"/>
      <c r="S56" s="12"/>
      <c r="T56" s="6"/>
      <c r="U56" s="19"/>
    </row>
    <row r="57" spans="1:21" ht="18" customHeight="1" x14ac:dyDescent="0.35">
      <c r="A57" s="3">
        <v>55</v>
      </c>
      <c r="B57" s="3" t="s">
        <v>17</v>
      </c>
      <c r="C57" s="3" t="s">
        <v>255</v>
      </c>
      <c r="D57" s="4" t="s">
        <v>102</v>
      </c>
      <c r="E57" s="5" t="s">
        <v>111</v>
      </c>
      <c r="F57" s="5"/>
      <c r="G57" s="5"/>
      <c r="H57" s="6" t="s">
        <v>110</v>
      </c>
      <c r="I57" s="14" t="s">
        <v>238</v>
      </c>
      <c r="J57" s="5"/>
      <c r="K57" s="5"/>
      <c r="L57" s="5"/>
      <c r="M57" s="5"/>
      <c r="N57" s="5"/>
      <c r="O57" s="12"/>
      <c r="P57" s="5"/>
      <c r="Q57" s="5"/>
      <c r="R57" s="5"/>
      <c r="S57" s="12"/>
      <c r="T57" s="6"/>
      <c r="U57" s="19"/>
    </row>
    <row r="58" spans="1:21" ht="18" customHeight="1" x14ac:dyDescent="0.35">
      <c r="A58" s="3">
        <v>56</v>
      </c>
      <c r="B58" s="3" t="s">
        <v>17</v>
      </c>
      <c r="C58" s="3" t="s">
        <v>255</v>
      </c>
      <c r="D58" s="4" t="s">
        <v>102</v>
      </c>
      <c r="E58" s="5" t="s">
        <v>112</v>
      </c>
      <c r="F58" s="5"/>
      <c r="G58" s="5"/>
      <c r="H58" s="5"/>
      <c r="I58" s="12"/>
      <c r="J58" s="5"/>
      <c r="K58" s="5"/>
      <c r="L58" s="5"/>
      <c r="M58" s="5"/>
      <c r="N58" s="5"/>
      <c r="O58" s="12"/>
      <c r="P58" s="5"/>
      <c r="Q58" s="5"/>
      <c r="R58" s="5"/>
      <c r="S58" s="12"/>
      <c r="T58" s="6" t="s">
        <v>113</v>
      </c>
      <c r="U58" s="19" t="s">
        <v>242</v>
      </c>
    </row>
    <row r="59" spans="1:21" ht="18" customHeight="1" x14ac:dyDescent="0.35">
      <c r="A59" s="3">
        <v>57</v>
      </c>
      <c r="B59" s="3" t="s">
        <v>17</v>
      </c>
      <c r="C59" s="3" t="s">
        <v>255</v>
      </c>
      <c r="D59" s="4" t="s">
        <v>102</v>
      </c>
      <c r="E59" s="5">
        <v>1320003614</v>
      </c>
      <c r="F59" s="5"/>
      <c r="G59" s="5"/>
      <c r="H59" s="5"/>
      <c r="I59" s="12"/>
      <c r="J59" s="5"/>
      <c r="K59" s="5"/>
      <c r="L59" s="5"/>
      <c r="M59" s="5"/>
      <c r="N59" s="5"/>
      <c r="O59" s="12"/>
      <c r="P59" s="5"/>
      <c r="Q59" s="5"/>
      <c r="R59" s="5"/>
      <c r="S59" s="12"/>
      <c r="T59" s="6" t="s">
        <v>114</v>
      </c>
      <c r="U59" s="19" t="s">
        <v>242</v>
      </c>
    </row>
    <row r="60" spans="1:21" ht="18" customHeight="1" x14ac:dyDescent="0.35">
      <c r="A60" s="3">
        <v>58</v>
      </c>
      <c r="B60" s="3" t="s">
        <v>17</v>
      </c>
      <c r="C60" s="3" t="s">
        <v>255</v>
      </c>
      <c r="D60" s="4" t="s">
        <v>102</v>
      </c>
      <c r="E60" s="5" t="s">
        <v>115</v>
      </c>
      <c r="F60" s="5"/>
      <c r="G60" s="5"/>
      <c r="H60" s="5"/>
      <c r="I60" s="12"/>
      <c r="J60" s="5"/>
      <c r="K60" s="5"/>
      <c r="L60" s="5"/>
      <c r="M60" s="5"/>
      <c r="N60" s="5"/>
      <c r="O60" s="12"/>
      <c r="P60" s="5"/>
      <c r="Q60" s="5"/>
      <c r="R60" s="5"/>
      <c r="S60" s="12"/>
      <c r="T60" s="6" t="s">
        <v>116</v>
      </c>
      <c r="U60" s="19" t="s">
        <v>242</v>
      </c>
    </row>
    <row r="61" spans="1:21" ht="18" customHeight="1" x14ac:dyDescent="0.35">
      <c r="A61" s="3">
        <v>59</v>
      </c>
      <c r="B61" s="3" t="s">
        <v>27</v>
      </c>
      <c r="C61" s="3" t="s">
        <v>256</v>
      </c>
      <c r="D61" s="4" t="s">
        <v>102</v>
      </c>
      <c r="E61" s="7" t="s">
        <v>117</v>
      </c>
      <c r="F61" s="7"/>
      <c r="G61" s="7"/>
      <c r="H61" s="7" t="s">
        <v>118</v>
      </c>
      <c r="I61" s="13" t="s">
        <v>238</v>
      </c>
      <c r="J61" s="7"/>
      <c r="K61" s="7"/>
      <c r="L61" s="7"/>
      <c r="M61" s="7"/>
      <c r="N61" s="7"/>
      <c r="O61" s="13"/>
      <c r="P61" s="7"/>
      <c r="Q61" s="7"/>
      <c r="R61" s="7"/>
      <c r="S61" s="13"/>
      <c r="T61" s="7"/>
      <c r="U61" s="19"/>
    </row>
    <row r="62" spans="1:21" ht="18" customHeight="1" x14ac:dyDescent="0.35">
      <c r="A62" s="3">
        <v>60</v>
      </c>
      <c r="B62" s="3" t="s">
        <v>27</v>
      </c>
      <c r="C62" s="3" t="s">
        <v>256</v>
      </c>
      <c r="D62" s="4" t="s">
        <v>102</v>
      </c>
      <c r="E62" s="7" t="s">
        <v>119</v>
      </c>
      <c r="F62" s="7"/>
      <c r="G62" s="7"/>
      <c r="H62" s="7" t="s">
        <v>120</v>
      </c>
      <c r="I62" s="13" t="s">
        <v>238</v>
      </c>
      <c r="J62" s="7"/>
      <c r="K62" s="7"/>
      <c r="L62" s="7"/>
      <c r="M62" s="7"/>
      <c r="N62" s="7"/>
      <c r="O62" s="13"/>
      <c r="P62" s="7"/>
      <c r="Q62" s="7"/>
      <c r="R62" s="7"/>
      <c r="S62" s="13"/>
      <c r="T62" s="7"/>
      <c r="U62" s="19"/>
    </row>
    <row r="63" spans="1:21" ht="18" customHeight="1" x14ac:dyDescent="0.35">
      <c r="A63" s="3">
        <v>61</v>
      </c>
      <c r="B63" s="3" t="s">
        <v>76</v>
      </c>
      <c r="C63" s="3" t="s">
        <v>257</v>
      </c>
      <c r="D63" s="4" t="s">
        <v>102</v>
      </c>
      <c r="E63" s="7" t="s">
        <v>121</v>
      </c>
      <c r="F63" s="7"/>
      <c r="G63" s="7"/>
      <c r="H63" s="7" t="s">
        <v>122</v>
      </c>
      <c r="I63" s="13" t="s">
        <v>238</v>
      </c>
      <c r="J63" s="7"/>
      <c r="K63" s="7"/>
      <c r="L63" s="7"/>
      <c r="M63" s="7"/>
      <c r="N63" s="7"/>
      <c r="O63" s="13"/>
      <c r="P63" s="7"/>
      <c r="Q63" s="7"/>
      <c r="R63" s="7"/>
      <c r="S63" s="13"/>
      <c r="T63" s="7"/>
      <c r="U63" s="19"/>
    </row>
    <row r="64" spans="1:21" ht="18" customHeight="1" x14ac:dyDescent="0.35">
      <c r="A64" s="3">
        <v>62</v>
      </c>
      <c r="B64" s="3" t="s">
        <v>81</v>
      </c>
      <c r="C64" s="3" t="s">
        <v>258</v>
      </c>
      <c r="D64" s="3" t="s">
        <v>102</v>
      </c>
      <c r="E64" s="7" t="s">
        <v>123</v>
      </c>
      <c r="F64" s="7"/>
      <c r="G64" s="7"/>
      <c r="H64" s="5" t="s">
        <v>124</v>
      </c>
      <c r="I64" s="12" t="s">
        <v>238</v>
      </c>
      <c r="J64" s="7"/>
      <c r="K64" s="7"/>
      <c r="L64" s="7"/>
      <c r="M64" s="7"/>
      <c r="N64" s="7"/>
      <c r="O64" s="13"/>
      <c r="P64" s="7"/>
      <c r="Q64" s="7"/>
      <c r="R64" s="7"/>
      <c r="S64" s="13"/>
      <c r="T64" s="7"/>
      <c r="U64" s="19"/>
    </row>
    <row r="65" spans="1:21" ht="18" customHeight="1" x14ac:dyDescent="0.35">
      <c r="A65" s="3">
        <v>63</v>
      </c>
      <c r="B65" s="3" t="s">
        <v>81</v>
      </c>
      <c r="C65" s="3" t="s">
        <v>258</v>
      </c>
      <c r="D65" s="3" t="s">
        <v>102</v>
      </c>
      <c r="E65" s="7" t="s">
        <v>125</v>
      </c>
      <c r="F65" s="7"/>
      <c r="G65" s="7"/>
      <c r="H65" s="5" t="s">
        <v>126</v>
      </c>
      <c r="I65" s="12" t="s">
        <v>238</v>
      </c>
      <c r="J65" s="7"/>
      <c r="K65" s="7"/>
      <c r="L65" s="7"/>
      <c r="M65" s="7"/>
      <c r="N65" s="7"/>
      <c r="O65" s="13"/>
      <c r="P65" s="7"/>
      <c r="Q65" s="7"/>
      <c r="R65" s="7"/>
      <c r="S65" s="13"/>
      <c r="T65" s="7"/>
      <c r="U65" s="19"/>
    </row>
    <row r="66" spans="1:21" ht="18" customHeight="1" x14ac:dyDescent="0.35">
      <c r="A66" s="3">
        <v>64</v>
      </c>
      <c r="B66" s="3" t="s">
        <v>81</v>
      </c>
      <c r="C66" s="3" t="s">
        <v>258</v>
      </c>
      <c r="D66" s="3" t="s">
        <v>102</v>
      </c>
      <c r="E66" s="7" t="s">
        <v>127</v>
      </c>
      <c r="F66" s="7"/>
      <c r="G66" s="7"/>
      <c r="H66" s="5" t="s">
        <v>128</v>
      </c>
      <c r="I66" s="12" t="s">
        <v>238</v>
      </c>
      <c r="J66" s="7"/>
      <c r="K66" s="7"/>
      <c r="L66" s="7"/>
      <c r="M66" s="7"/>
      <c r="N66" s="7"/>
      <c r="O66" s="13"/>
      <c r="P66" s="7"/>
      <c r="Q66" s="7"/>
      <c r="R66" s="7"/>
      <c r="S66" s="13"/>
      <c r="T66" s="7"/>
      <c r="U66" s="19"/>
    </row>
    <row r="67" spans="1:21" ht="18" customHeight="1" x14ac:dyDescent="0.35">
      <c r="A67" s="3">
        <v>65</v>
      </c>
      <c r="B67" s="3" t="s">
        <v>81</v>
      </c>
      <c r="C67" s="3" t="s">
        <v>258</v>
      </c>
      <c r="D67" s="3" t="s">
        <v>102</v>
      </c>
      <c r="E67" s="7" t="s">
        <v>129</v>
      </c>
      <c r="F67" s="7"/>
      <c r="G67" s="7"/>
      <c r="H67" s="5" t="s">
        <v>130</v>
      </c>
      <c r="I67" s="12" t="s">
        <v>238</v>
      </c>
      <c r="J67" s="7"/>
      <c r="K67" s="7"/>
      <c r="L67" s="7"/>
      <c r="M67" s="7"/>
      <c r="N67" s="7"/>
      <c r="O67" s="13"/>
      <c r="P67" s="7"/>
      <c r="Q67" s="7"/>
      <c r="R67" s="7"/>
      <c r="S67" s="13"/>
      <c r="T67" s="7"/>
      <c r="U67" s="19"/>
    </row>
    <row r="68" spans="1:21" ht="18" customHeight="1" x14ac:dyDescent="0.35">
      <c r="A68" s="3">
        <v>66</v>
      </c>
      <c r="B68" s="3" t="s">
        <v>81</v>
      </c>
      <c r="C68" s="3" t="s">
        <v>258</v>
      </c>
      <c r="D68" s="3" t="s">
        <v>102</v>
      </c>
      <c r="E68" s="7" t="s">
        <v>131</v>
      </c>
      <c r="F68" s="7"/>
      <c r="G68" s="7"/>
      <c r="H68" s="5" t="s">
        <v>132</v>
      </c>
      <c r="I68" s="12" t="s">
        <v>238</v>
      </c>
      <c r="J68" s="7"/>
      <c r="K68" s="7"/>
      <c r="L68" s="7"/>
      <c r="M68" s="7"/>
      <c r="N68" s="7"/>
      <c r="O68" s="13"/>
      <c r="P68" s="7"/>
      <c r="Q68" s="7"/>
      <c r="R68" s="7"/>
      <c r="S68" s="13"/>
      <c r="T68" s="7"/>
      <c r="U68" s="19"/>
    </row>
    <row r="69" spans="1:21" ht="18" customHeight="1" x14ac:dyDescent="0.35">
      <c r="A69" s="3">
        <v>67</v>
      </c>
      <c r="B69" s="3" t="s">
        <v>81</v>
      </c>
      <c r="C69" s="3" t="s">
        <v>258</v>
      </c>
      <c r="D69" s="3" t="s">
        <v>102</v>
      </c>
      <c r="E69" s="7" t="s">
        <v>133</v>
      </c>
      <c r="F69" s="7"/>
      <c r="G69" s="7"/>
      <c r="H69" s="5" t="s">
        <v>134</v>
      </c>
      <c r="I69" s="12" t="s">
        <v>238</v>
      </c>
      <c r="J69" s="7"/>
      <c r="K69" s="7"/>
      <c r="L69" s="7"/>
      <c r="M69" s="7"/>
      <c r="N69" s="7"/>
      <c r="O69" s="13"/>
      <c r="P69" s="7"/>
      <c r="Q69" s="7"/>
      <c r="R69" s="7"/>
      <c r="S69" s="13"/>
      <c r="T69" s="7"/>
      <c r="U69" s="19"/>
    </row>
    <row r="70" spans="1:21" ht="18" customHeight="1" x14ac:dyDescent="0.35">
      <c r="A70" s="3">
        <v>68</v>
      </c>
      <c r="B70" s="3" t="s">
        <v>81</v>
      </c>
      <c r="C70" s="3" t="s">
        <v>258</v>
      </c>
      <c r="D70" s="3" t="s">
        <v>102</v>
      </c>
      <c r="E70" s="7" t="s">
        <v>135</v>
      </c>
      <c r="F70" s="7"/>
      <c r="G70" s="7"/>
      <c r="H70" s="5" t="s">
        <v>136</v>
      </c>
      <c r="I70" s="12" t="s">
        <v>238</v>
      </c>
      <c r="J70" s="7"/>
      <c r="K70" s="7"/>
      <c r="L70" s="7"/>
      <c r="M70" s="7"/>
      <c r="N70" s="7"/>
      <c r="O70" s="13"/>
      <c r="P70" s="7"/>
      <c r="Q70" s="7"/>
      <c r="R70" s="7"/>
      <c r="S70" s="13"/>
      <c r="T70" s="7"/>
      <c r="U70" s="19"/>
    </row>
    <row r="71" spans="1:21" ht="18" customHeight="1" x14ac:dyDescent="0.35">
      <c r="A71" s="3">
        <v>69</v>
      </c>
      <c r="B71" s="3" t="s">
        <v>81</v>
      </c>
      <c r="C71" s="3" t="s">
        <v>258</v>
      </c>
      <c r="D71" s="3" t="s">
        <v>102</v>
      </c>
      <c r="E71" s="7" t="s">
        <v>137</v>
      </c>
      <c r="F71" s="7"/>
      <c r="G71" s="7"/>
      <c r="H71" s="5" t="s">
        <v>138</v>
      </c>
      <c r="I71" s="12" t="s">
        <v>238</v>
      </c>
      <c r="J71" s="7"/>
      <c r="K71" s="7"/>
      <c r="L71" s="7"/>
      <c r="M71" s="7"/>
      <c r="N71" s="7"/>
      <c r="O71" s="13"/>
      <c r="P71" s="7"/>
      <c r="Q71" s="7"/>
      <c r="R71" s="7"/>
      <c r="S71" s="13"/>
      <c r="T71" s="7"/>
      <c r="U71" s="19"/>
    </row>
    <row r="72" spans="1:21" ht="18" customHeight="1" x14ac:dyDescent="0.35">
      <c r="A72" s="3">
        <v>70</v>
      </c>
      <c r="B72" s="3" t="s">
        <v>81</v>
      </c>
      <c r="C72" s="3" t="s">
        <v>258</v>
      </c>
      <c r="D72" s="3" t="s">
        <v>102</v>
      </c>
      <c r="E72" s="7" t="s">
        <v>139</v>
      </c>
      <c r="F72" s="7"/>
      <c r="G72" s="7"/>
      <c r="H72" s="5" t="s">
        <v>140</v>
      </c>
      <c r="I72" s="12" t="s">
        <v>238</v>
      </c>
      <c r="J72" s="7"/>
      <c r="K72" s="7"/>
      <c r="L72" s="7"/>
      <c r="M72" s="7"/>
      <c r="N72" s="7"/>
      <c r="O72" s="13"/>
      <c r="P72" s="7"/>
      <c r="Q72" s="7"/>
      <c r="R72" s="7"/>
      <c r="S72" s="13"/>
      <c r="T72" s="7"/>
      <c r="U72" s="19"/>
    </row>
    <row r="73" spans="1:21" ht="18" customHeight="1" x14ac:dyDescent="0.35">
      <c r="A73" s="3">
        <v>71</v>
      </c>
      <c r="B73" s="3" t="s">
        <v>81</v>
      </c>
      <c r="C73" s="3" t="s">
        <v>258</v>
      </c>
      <c r="D73" s="3" t="s">
        <v>102</v>
      </c>
      <c r="E73" s="7" t="s">
        <v>141</v>
      </c>
      <c r="F73" s="7"/>
      <c r="G73" s="7"/>
      <c r="H73" s="5" t="s">
        <v>142</v>
      </c>
      <c r="I73" s="12" t="s">
        <v>238</v>
      </c>
      <c r="J73" s="7"/>
      <c r="K73" s="7"/>
      <c r="L73" s="7"/>
      <c r="M73" s="7"/>
      <c r="N73" s="7"/>
      <c r="O73" s="13"/>
      <c r="P73" s="7"/>
      <c r="Q73" s="7"/>
      <c r="R73" s="7"/>
      <c r="S73" s="13"/>
      <c r="T73" s="7"/>
      <c r="U73" s="19"/>
    </row>
    <row r="74" spans="1:21" ht="18" customHeight="1" x14ac:dyDescent="0.35">
      <c r="A74" s="3">
        <v>72</v>
      </c>
      <c r="B74" s="3" t="s">
        <v>81</v>
      </c>
      <c r="C74" s="3" t="s">
        <v>258</v>
      </c>
      <c r="D74" s="3" t="s">
        <v>102</v>
      </c>
      <c r="E74" s="7" t="s">
        <v>143</v>
      </c>
      <c r="F74" s="7"/>
      <c r="G74" s="7"/>
      <c r="H74" s="5" t="s">
        <v>144</v>
      </c>
      <c r="I74" s="12" t="s">
        <v>238</v>
      </c>
      <c r="J74" s="7"/>
      <c r="K74" s="7"/>
      <c r="L74" s="7"/>
      <c r="M74" s="7"/>
      <c r="N74" s="7"/>
      <c r="O74" s="13"/>
      <c r="P74" s="7"/>
      <c r="Q74" s="7"/>
      <c r="R74" s="7"/>
      <c r="S74" s="13"/>
      <c r="T74" s="7"/>
      <c r="U74" s="19"/>
    </row>
    <row r="75" spans="1:21" ht="18" customHeight="1" x14ac:dyDescent="0.35">
      <c r="A75" s="3">
        <v>73</v>
      </c>
      <c r="B75" s="3" t="s">
        <v>81</v>
      </c>
      <c r="C75" s="3" t="s">
        <v>258</v>
      </c>
      <c r="D75" s="3" t="s">
        <v>102</v>
      </c>
      <c r="E75" s="7" t="s">
        <v>145</v>
      </c>
      <c r="F75" s="7"/>
      <c r="G75" s="7"/>
      <c r="H75" s="5" t="s">
        <v>146</v>
      </c>
      <c r="I75" s="12" t="s">
        <v>238</v>
      </c>
      <c r="J75" s="7"/>
      <c r="K75" s="7"/>
      <c r="L75" s="7"/>
      <c r="M75" s="7"/>
      <c r="N75" s="7"/>
      <c r="O75" s="13"/>
      <c r="P75" s="7"/>
      <c r="Q75" s="7"/>
      <c r="R75" s="7"/>
      <c r="S75" s="13"/>
      <c r="T75" s="7"/>
      <c r="U75" s="19"/>
    </row>
    <row r="76" spans="1:21" ht="18" customHeight="1" x14ac:dyDescent="0.35">
      <c r="A76" s="3">
        <v>74</v>
      </c>
      <c r="B76" s="3" t="s">
        <v>81</v>
      </c>
      <c r="C76" s="3" t="s">
        <v>258</v>
      </c>
      <c r="D76" s="3" t="s">
        <v>102</v>
      </c>
      <c r="E76" s="7" t="s">
        <v>147</v>
      </c>
      <c r="F76" s="7"/>
      <c r="G76" s="7"/>
      <c r="H76" s="5" t="s">
        <v>148</v>
      </c>
      <c r="I76" s="12" t="s">
        <v>238</v>
      </c>
      <c r="J76" s="7"/>
      <c r="K76" s="7"/>
      <c r="L76" s="7"/>
      <c r="M76" s="7"/>
      <c r="N76" s="7"/>
      <c r="O76" s="13"/>
      <c r="P76" s="7"/>
      <c r="Q76" s="7"/>
      <c r="R76" s="7"/>
      <c r="S76" s="13"/>
      <c r="T76" s="7"/>
      <c r="U76" s="19"/>
    </row>
    <row r="77" spans="1:21" ht="18" customHeight="1" x14ac:dyDescent="0.35">
      <c r="A77" s="3">
        <v>75</v>
      </c>
      <c r="B77" s="3" t="s">
        <v>81</v>
      </c>
      <c r="C77" s="3" t="s">
        <v>258</v>
      </c>
      <c r="D77" s="3" t="s">
        <v>102</v>
      </c>
      <c r="E77" s="7" t="s">
        <v>149</v>
      </c>
      <c r="F77" s="7"/>
      <c r="G77" s="7"/>
      <c r="H77" s="5" t="s">
        <v>150</v>
      </c>
      <c r="I77" s="12" t="s">
        <v>238</v>
      </c>
      <c r="J77" s="7"/>
      <c r="K77" s="7"/>
      <c r="L77" s="7"/>
      <c r="M77" s="7"/>
      <c r="N77" s="7"/>
      <c r="O77" s="13"/>
      <c r="P77" s="7"/>
      <c r="Q77" s="7"/>
      <c r="R77" s="7"/>
      <c r="S77" s="13"/>
      <c r="T77" s="7"/>
      <c r="U77" s="19"/>
    </row>
    <row r="78" spans="1:21" ht="18" customHeight="1" x14ac:dyDescent="0.35">
      <c r="A78" s="3">
        <v>76</v>
      </c>
      <c r="B78" s="3" t="s">
        <v>81</v>
      </c>
      <c r="C78" s="3" t="s">
        <v>258</v>
      </c>
      <c r="D78" s="3" t="s">
        <v>102</v>
      </c>
      <c r="E78" s="7" t="s">
        <v>151</v>
      </c>
      <c r="F78" s="7"/>
      <c r="G78" s="7"/>
      <c r="H78" s="5" t="s">
        <v>152</v>
      </c>
      <c r="I78" s="12" t="s">
        <v>238</v>
      </c>
      <c r="J78" s="7"/>
      <c r="K78" s="7"/>
      <c r="L78" s="7"/>
      <c r="M78" s="7"/>
      <c r="N78" s="7"/>
      <c r="O78" s="13"/>
      <c r="P78" s="7"/>
      <c r="Q78" s="7"/>
      <c r="R78" s="7"/>
      <c r="S78" s="13"/>
      <c r="T78" s="7"/>
      <c r="U78" s="19"/>
    </row>
    <row r="79" spans="1:21" ht="18" customHeight="1" x14ac:dyDescent="0.35">
      <c r="A79" s="3">
        <v>77</v>
      </c>
      <c r="B79" s="3" t="s">
        <v>81</v>
      </c>
      <c r="C79" s="3" t="s">
        <v>258</v>
      </c>
      <c r="D79" s="3" t="s">
        <v>102</v>
      </c>
      <c r="E79" s="7" t="s">
        <v>153</v>
      </c>
      <c r="F79" s="7"/>
      <c r="G79" s="7"/>
      <c r="H79" s="5" t="s">
        <v>154</v>
      </c>
      <c r="I79" s="12" t="s">
        <v>238</v>
      </c>
      <c r="J79" s="7"/>
      <c r="K79" s="7"/>
      <c r="L79" s="7"/>
      <c r="M79" s="7"/>
      <c r="N79" s="7"/>
      <c r="O79" s="13"/>
      <c r="P79" s="7"/>
      <c r="Q79" s="7"/>
      <c r="R79" s="7"/>
      <c r="S79" s="13"/>
      <c r="T79" s="7"/>
      <c r="U79" s="19"/>
    </row>
    <row r="80" spans="1:21" ht="18" customHeight="1" x14ac:dyDescent="0.35">
      <c r="A80" s="3">
        <v>78</v>
      </c>
      <c r="B80" s="3" t="s">
        <v>81</v>
      </c>
      <c r="C80" s="3" t="s">
        <v>258</v>
      </c>
      <c r="D80" s="3" t="s">
        <v>102</v>
      </c>
      <c r="E80" s="7" t="s">
        <v>155</v>
      </c>
      <c r="F80" s="7"/>
      <c r="G80" s="7"/>
      <c r="H80" s="5" t="s">
        <v>156</v>
      </c>
      <c r="I80" s="12" t="s">
        <v>238</v>
      </c>
      <c r="J80" s="7"/>
      <c r="K80" s="7"/>
      <c r="L80" s="7"/>
      <c r="M80" s="7"/>
      <c r="N80" s="7"/>
      <c r="O80" s="13"/>
      <c r="P80" s="7"/>
      <c r="Q80" s="7"/>
      <c r="R80" s="7"/>
      <c r="S80" s="13"/>
      <c r="T80" s="7"/>
      <c r="U80" s="19"/>
    </row>
    <row r="81" spans="1:21" ht="18" customHeight="1" x14ac:dyDescent="0.35">
      <c r="A81" s="3">
        <v>79</v>
      </c>
      <c r="B81" s="3" t="s">
        <v>81</v>
      </c>
      <c r="C81" s="3" t="s">
        <v>258</v>
      </c>
      <c r="D81" s="3" t="s">
        <v>102</v>
      </c>
      <c r="E81" s="7" t="s">
        <v>157</v>
      </c>
      <c r="F81" s="7"/>
      <c r="G81" s="7"/>
      <c r="H81" s="5" t="s">
        <v>158</v>
      </c>
      <c r="I81" s="12" t="s">
        <v>238</v>
      </c>
      <c r="J81" s="7"/>
      <c r="K81" s="7"/>
      <c r="L81" s="7"/>
      <c r="M81" s="7"/>
      <c r="N81" s="7"/>
      <c r="O81" s="13"/>
      <c r="P81" s="7"/>
      <c r="Q81" s="7"/>
      <c r="R81" s="7"/>
      <c r="S81" s="13"/>
      <c r="T81" s="7"/>
      <c r="U81" s="19"/>
    </row>
    <row r="82" spans="1:21" ht="18" customHeight="1" x14ac:dyDescent="0.35">
      <c r="A82" s="3">
        <v>80</v>
      </c>
      <c r="B82" s="3" t="s">
        <v>81</v>
      </c>
      <c r="C82" s="3" t="s">
        <v>258</v>
      </c>
      <c r="D82" s="3" t="s">
        <v>102</v>
      </c>
      <c r="E82" s="7" t="s">
        <v>159</v>
      </c>
      <c r="F82" s="7"/>
      <c r="G82" s="7"/>
      <c r="H82" s="5" t="s">
        <v>160</v>
      </c>
      <c r="I82" s="12" t="s">
        <v>238</v>
      </c>
      <c r="J82" s="7"/>
      <c r="K82" s="7"/>
      <c r="L82" s="7"/>
      <c r="M82" s="7"/>
      <c r="N82" s="7"/>
      <c r="O82" s="13"/>
      <c r="P82" s="7"/>
      <c r="Q82" s="7"/>
      <c r="R82" s="7"/>
      <c r="S82" s="13"/>
      <c r="T82" s="7"/>
      <c r="U82" s="19"/>
    </row>
    <row r="83" spans="1:21" ht="18" customHeight="1" x14ac:dyDescent="0.35">
      <c r="A83" s="3">
        <v>81</v>
      </c>
      <c r="B83" s="3" t="s">
        <v>81</v>
      </c>
      <c r="C83" s="3" t="s">
        <v>258</v>
      </c>
      <c r="D83" s="3" t="s">
        <v>102</v>
      </c>
      <c r="E83" s="7" t="s">
        <v>161</v>
      </c>
      <c r="F83" s="7"/>
      <c r="G83" s="7"/>
      <c r="H83" s="5"/>
      <c r="I83" s="12"/>
      <c r="J83" s="7"/>
      <c r="K83" s="7"/>
      <c r="L83" s="7"/>
      <c r="M83" s="7"/>
      <c r="N83" s="7"/>
      <c r="O83" s="13"/>
      <c r="P83" s="7"/>
      <c r="Q83" s="7"/>
      <c r="R83" s="7" t="s">
        <v>162</v>
      </c>
      <c r="S83" s="13" t="s">
        <v>239</v>
      </c>
      <c r="T83" s="7"/>
      <c r="U83" s="19"/>
    </row>
    <row r="84" spans="1:21" ht="18" customHeight="1" x14ac:dyDescent="0.35">
      <c r="A84" s="3">
        <v>82</v>
      </c>
      <c r="B84" s="3" t="s">
        <v>95</v>
      </c>
      <c r="C84" s="3" t="s">
        <v>259</v>
      </c>
      <c r="D84" s="3" t="s">
        <v>102</v>
      </c>
      <c r="E84" s="7" t="s">
        <v>163</v>
      </c>
      <c r="F84" s="7"/>
      <c r="G84" s="7"/>
      <c r="H84" s="5" t="s">
        <v>164</v>
      </c>
      <c r="I84" s="12" t="s">
        <v>238</v>
      </c>
      <c r="J84" s="7"/>
      <c r="K84" s="7"/>
      <c r="L84" s="7"/>
      <c r="M84" s="7"/>
      <c r="N84" s="7"/>
      <c r="O84" s="13"/>
      <c r="P84" s="7"/>
      <c r="Q84" s="7"/>
      <c r="R84" s="7"/>
      <c r="S84" s="13"/>
      <c r="T84" s="7"/>
      <c r="U84" s="19"/>
    </row>
    <row r="85" spans="1:21" ht="18" customHeight="1" x14ac:dyDescent="0.35">
      <c r="A85" s="3">
        <v>83</v>
      </c>
      <c r="B85" s="3" t="s">
        <v>95</v>
      </c>
      <c r="C85" s="3" t="s">
        <v>259</v>
      </c>
      <c r="D85" s="3" t="s">
        <v>102</v>
      </c>
      <c r="E85" s="7" t="s">
        <v>165</v>
      </c>
      <c r="F85" s="7"/>
      <c r="G85" s="7"/>
      <c r="H85" s="5" t="s">
        <v>166</v>
      </c>
      <c r="I85" s="12" t="s">
        <v>238</v>
      </c>
      <c r="J85" s="7"/>
      <c r="K85" s="7"/>
      <c r="L85" s="7"/>
      <c r="M85" s="7"/>
      <c r="N85" s="7"/>
      <c r="O85" s="13"/>
      <c r="P85" s="7"/>
      <c r="Q85" s="7"/>
      <c r="R85" s="7"/>
      <c r="S85" s="13"/>
      <c r="T85" s="7"/>
      <c r="U85" s="19"/>
    </row>
    <row r="86" spans="1:21" ht="18" customHeight="1" x14ac:dyDescent="0.35">
      <c r="A86" s="3">
        <v>84</v>
      </c>
      <c r="B86" s="3" t="s">
        <v>95</v>
      </c>
      <c r="C86" s="3" t="s">
        <v>259</v>
      </c>
      <c r="D86" s="3" t="s">
        <v>102</v>
      </c>
      <c r="E86" s="7" t="s">
        <v>167</v>
      </c>
      <c r="F86" s="7"/>
      <c r="G86" s="7"/>
      <c r="H86" s="5" t="s">
        <v>168</v>
      </c>
      <c r="I86" s="12" t="s">
        <v>238</v>
      </c>
      <c r="J86" s="7"/>
      <c r="K86" s="7"/>
      <c r="L86" s="7"/>
      <c r="M86" s="7"/>
      <c r="N86" s="7"/>
      <c r="O86" s="13"/>
      <c r="P86" s="7"/>
      <c r="Q86" s="7"/>
      <c r="R86" s="7"/>
      <c r="S86" s="13"/>
      <c r="T86" s="7"/>
      <c r="U86" s="19"/>
    </row>
    <row r="87" spans="1:21" ht="18" customHeight="1" x14ac:dyDescent="0.35">
      <c r="A87" s="3">
        <v>85</v>
      </c>
      <c r="B87" s="3" t="s">
        <v>95</v>
      </c>
      <c r="C87" s="3" t="s">
        <v>259</v>
      </c>
      <c r="D87" s="3" t="s">
        <v>102</v>
      </c>
      <c r="E87" s="7" t="s">
        <v>169</v>
      </c>
      <c r="F87" s="7"/>
      <c r="G87" s="7"/>
      <c r="H87" s="5" t="s">
        <v>170</v>
      </c>
      <c r="I87" s="12" t="s">
        <v>238</v>
      </c>
      <c r="J87" s="7"/>
      <c r="K87" s="7"/>
      <c r="L87" s="7"/>
      <c r="M87" s="7"/>
      <c r="N87" s="7"/>
      <c r="O87" s="13"/>
      <c r="P87" s="7"/>
      <c r="Q87" s="7"/>
      <c r="R87" s="7"/>
      <c r="S87" s="13"/>
      <c r="T87" s="7"/>
      <c r="U87" s="19"/>
    </row>
    <row r="88" spans="1:21" ht="18" customHeight="1" x14ac:dyDescent="0.35">
      <c r="A88" s="3">
        <v>86</v>
      </c>
      <c r="B88" s="3" t="s">
        <v>17</v>
      </c>
      <c r="C88" s="3" t="s">
        <v>255</v>
      </c>
      <c r="D88" s="4" t="s">
        <v>171</v>
      </c>
      <c r="E88" s="5" t="s">
        <v>172</v>
      </c>
      <c r="F88" s="5"/>
      <c r="G88" s="5"/>
      <c r="H88" s="6" t="s">
        <v>173</v>
      </c>
      <c r="I88" s="14" t="s">
        <v>238</v>
      </c>
      <c r="J88" s="5"/>
      <c r="K88" s="5"/>
      <c r="L88" s="5"/>
      <c r="M88" s="5"/>
      <c r="N88" s="5"/>
      <c r="O88" s="12"/>
      <c r="P88" s="5"/>
      <c r="Q88" s="5"/>
      <c r="R88" s="5"/>
      <c r="S88" s="12"/>
      <c r="T88" s="6"/>
      <c r="U88" s="19"/>
    </row>
    <row r="89" spans="1:21" ht="18" customHeight="1" x14ac:dyDescent="0.35">
      <c r="A89" s="3">
        <v>87</v>
      </c>
      <c r="B89" s="3" t="s">
        <v>17</v>
      </c>
      <c r="C89" s="3" t="s">
        <v>255</v>
      </c>
      <c r="D89" s="4" t="s">
        <v>171</v>
      </c>
      <c r="E89" s="5" t="s">
        <v>174</v>
      </c>
      <c r="F89" s="5"/>
      <c r="G89" s="5"/>
      <c r="H89" s="6" t="s">
        <v>175</v>
      </c>
      <c r="I89" s="14" t="s">
        <v>238</v>
      </c>
      <c r="J89" s="5"/>
      <c r="K89" s="5"/>
      <c r="L89" s="5"/>
      <c r="M89" s="5"/>
      <c r="N89" s="5"/>
      <c r="O89" s="12"/>
      <c r="P89" s="5"/>
      <c r="Q89" s="5"/>
      <c r="R89" s="5"/>
      <c r="S89" s="12"/>
      <c r="T89" s="6"/>
      <c r="U89" s="19"/>
    </row>
    <row r="90" spans="1:21" ht="18" customHeight="1" x14ac:dyDescent="0.35">
      <c r="A90" s="3">
        <v>88</v>
      </c>
      <c r="B90" s="3" t="s">
        <v>17</v>
      </c>
      <c r="C90" s="3" t="s">
        <v>255</v>
      </c>
      <c r="D90" s="4" t="s">
        <v>171</v>
      </c>
      <c r="E90" s="5" t="s">
        <v>176</v>
      </c>
      <c r="F90" s="5"/>
      <c r="G90" s="5"/>
      <c r="H90" s="6" t="s">
        <v>177</v>
      </c>
      <c r="I90" s="14" t="s">
        <v>238</v>
      </c>
      <c r="J90" s="5"/>
      <c r="K90" s="5"/>
      <c r="L90" s="5"/>
      <c r="M90" s="5"/>
      <c r="N90" s="5"/>
      <c r="O90" s="12"/>
      <c r="P90" s="5"/>
      <c r="Q90" s="5"/>
      <c r="R90" s="5"/>
      <c r="S90" s="12"/>
      <c r="T90" s="6"/>
      <c r="U90" s="19"/>
    </row>
    <row r="91" spans="1:21" ht="18" customHeight="1" x14ac:dyDescent="0.35">
      <c r="A91" s="3">
        <v>89</v>
      </c>
      <c r="B91" s="3" t="s">
        <v>27</v>
      </c>
      <c r="C91" s="3" t="s">
        <v>256</v>
      </c>
      <c r="D91" s="4" t="s">
        <v>171</v>
      </c>
      <c r="E91" s="7" t="s">
        <v>178</v>
      </c>
      <c r="F91" s="7"/>
      <c r="G91" s="7"/>
      <c r="H91" s="7" t="s">
        <v>118</v>
      </c>
      <c r="I91" s="13" t="s">
        <v>238</v>
      </c>
      <c r="J91" s="7"/>
      <c r="K91" s="7"/>
      <c r="L91" s="7"/>
      <c r="M91" s="7"/>
      <c r="N91" s="7"/>
      <c r="O91" s="13"/>
      <c r="P91" s="7"/>
      <c r="Q91" s="7"/>
      <c r="R91" s="7"/>
      <c r="S91" s="13"/>
      <c r="T91" s="7"/>
      <c r="U91" s="19"/>
    </row>
    <row r="92" spans="1:21" ht="18" customHeight="1" x14ac:dyDescent="0.35">
      <c r="A92" s="3">
        <v>90</v>
      </c>
      <c r="B92" s="3" t="s">
        <v>27</v>
      </c>
      <c r="C92" s="3" t="s">
        <v>256</v>
      </c>
      <c r="D92" s="4" t="s">
        <v>171</v>
      </c>
      <c r="E92" s="7" t="s">
        <v>179</v>
      </c>
      <c r="F92" s="7"/>
      <c r="G92" s="7"/>
      <c r="H92" s="7" t="s">
        <v>180</v>
      </c>
      <c r="I92" s="13" t="s">
        <v>238</v>
      </c>
      <c r="J92" s="7"/>
      <c r="K92" s="7"/>
      <c r="L92" s="7"/>
      <c r="M92" s="7"/>
      <c r="N92" s="7"/>
      <c r="O92" s="13"/>
      <c r="P92" s="7"/>
      <c r="Q92" s="7"/>
      <c r="R92" s="7"/>
      <c r="S92" s="13"/>
      <c r="T92" s="7"/>
      <c r="U92" s="19"/>
    </row>
    <row r="93" spans="1:21" ht="18" customHeight="1" x14ac:dyDescent="0.35">
      <c r="A93" s="3">
        <v>91</v>
      </c>
      <c r="B93" s="3" t="s">
        <v>27</v>
      </c>
      <c r="C93" s="3" t="s">
        <v>256</v>
      </c>
      <c r="D93" s="4" t="s">
        <v>171</v>
      </c>
      <c r="E93" s="7" t="s">
        <v>181</v>
      </c>
      <c r="F93" s="7"/>
      <c r="G93" s="7"/>
      <c r="H93" s="7" t="s">
        <v>182</v>
      </c>
      <c r="I93" s="13" t="s">
        <v>238</v>
      </c>
      <c r="J93" s="7"/>
      <c r="K93" s="7"/>
      <c r="L93" s="7"/>
      <c r="M93" s="7"/>
      <c r="N93" s="7"/>
      <c r="O93" s="13"/>
      <c r="P93" s="7"/>
      <c r="Q93" s="7"/>
      <c r="R93" s="7"/>
      <c r="S93" s="13"/>
      <c r="T93" s="7"/>
      <c r="U93" s="19"/>
    </row>
    <row r="94" spans="1:21" ht="18" customHeight="1" x14ac:dyDescent="0.35">
      <c r="A94" s="3">
        <v>92</v>
      </c>
      <c r="B94" s="3" t="s">
        <v>27</v>
      </c>
      <c r="C94" s="3" t="s">
        <v>256</v>
      </c>
      <c r="D94" s="4" t="s">
        <v>171</v>
      </c>
      <c r="E94" s="7" t="s">
        <v>183</v>
      </c>
      <c r="F94" s="7"/>
      <c r="G94" s="7"/>
      <c r="H94" s="7" t="s">
        <v>184</v>
      </c>
      <c r="I94" s="13" t="s">
        <v>238</v>
      </c>
      <c r="J94" s="7"/>
      <c r="K94" s="7"/>
      <c r="L94" s="7"/>
      <c r="M94" s="7"/>
      <c r="N94" s="7"/>
      <c r="O94" s="13"/>
      <c r="P94" s="7"/>
      <c r="Q94" s="7"/>
      <c r="R94" s="7"/>
      <c r="S94" s="13"/>
      <c r="T94" s="7"/>
      <c r="U94" s="19"/>
    </row>
    <row r="95" spans="1:21" ht="18" customHeight="1" x14ac:dyDescent="0.35">
      <c r="A95" s="3">
        <v>93</v>
      </c>
      <c r="B95" s="3" t="s">
        <v>76</v>
      </c>
      <c r="C95" s="3" t="s">
        <v>257</v>
      </c>
      <c r="D95" s="4" t="s">
        <v>171</v>
      </c>
      <c r="E95" s="7" t="s">
        <v>185</v>
      </c>
      <c r="F95" s="7"/>
      <c r="G95" s="7"/>
      <c r="H95" s="7" t="s">
        <v>186</v>
      </c>
      <c r="I95" s="13" t="s">
        <v>238</v>
      </c>
      <c r="J95" s="7"/>
      <c r="K95" s="7"/>
      <c r="L95" s="7"/>
      <c r="M95" s="7"/>
      <c r="N95" s="7"/>
      <c r="O95" s="13"/>
      <c r="P95" s="7"/>
      <c r="Q95" s="7"/>
      <c r="R95" s="7"/>
      <c r="S95" s="13"/>
      <c r="T95" s="7"/>
      <c r="U95" s="19"/>
    </row>
    <row r="96" spans="1:21" ht="18" customHeight="1" x14ac:dyDescent="0.35">
      <c r="A96" s="3">
        <v>94</v>
      </c>
      <c r="B96" s="3" t="s">
        <v>76</v>
      </c>
      <c r="C96" s="3" t="s">
        <v>257</v>
      </c>
      <c r="D96" s="4" t="s">
        <v>171</v>
      </c>
      <c r="E96" s="7" t="s">
        <v>187</v>
      </c>
      <c r="F96" s="7"/>
      <c r="G96" s="7"/>
      <c r="H96" s="7" t="s">
        <v>188</v>
      </c>
      <c r="I96" s="13" t="s">
        <v>238</v>
      </c>
      <c r="J96" s="7"/>
      <c r="K96" s="7"/>
      <c r="L96" s="7"/>
      <c r="M96" s="7"/>
      <c r="N96" s="7"/>
      <c r="O96" s="13"/>
      <c r="P96" s="7"/>
      <c r="Q96" s="7"/>
      <c r="R96" s="7"/>
      <c r="S96" s="13"/>
      <c r="T96" s="7"/>
      <c r="U96" s="19"/>
    </row>
    <row r="97" spans="1:21" ht="18" customHeight="1" x14ac:dyDescent="0.35">
      <c r="A97" s="3">
        <v>95</v>
      </c>
      <c r="B97" s="3" t="s">
        <v>35</v>
      </c>
      <c r="C97" s="3" t="s">
        <v>35</v>
      </c>
      <c r="D97" s="3" t="s">
        <v>171</v>
      </c>
      <c r="E97" s="7" t="s">
        <v>189</v>
      </c>
      <c r="F97" s="8"/>
      <c r="G97" s="7"/>
      <c r="H97" s="7" t="s">
        <v>190</v>
      </c>
      <c r="I97" s="13" t="s">
        <v>238</v>
      </c>
      <c r="J97" s="7"/>
      <c r="K97" s="7"/>
      <c r="L97" s="7"/>
      <c r="M97" s="7"/>
      <c r="N97" s="7"/>
      <c r="O97" s="13"/>
      <c r="P97" s="7"/>
      <c r="Q97" s="7"/>
      <c r="R97" s="7"/>
      <c r="S97" s="13"/>
      <c r="T97" s="7"/>
      <c r="U97" s="19"/>
    </row>
    <row r="98" spans="1:21" ht="18" customHeight="1" x14ac:dyDescent="0.35">
      <c r="A98" s="3">
        <v>96</v>
      </c>
      <c r="B98" s="3" t="s">
        <v>81</v>
      </c>
      <c r="C98" s="3" t="s">
        <v>258</v>
      </c>
      <c r="D98" s="3" t="s">
        <v>171</v>
      </c>
      <c r="E98" s="7" t="s">
        <v>191</v>
      </c>
      <c r="F98" s="7"/>
      <c r="G98" s="7"/>
      <c r="H98" s="5" t="s">
        <v>192</v>
      </c>
      <c r="I98" s="12" t="s">
        <v>238</v>
      </c>
      <c r="J98" s="7"/>
      <c r="K98" s="7"/>
      <c r="L98" s="7"/>
      <c r="M98" s="7"/>
      <c r="N98" s="7"/>
      <c r="O98" s="13"/>
      <c r="P98" s="7"/>
      <c r="Q98" s="7"/>
      <c r="R98" s="7"/>
      <c r="S98" s="13"/>
      <c r="T98" s="7"/>
      <c r="U98" s="19"/>
    </row>
    <row r="99" spans="1:21" ht="18" customHeight="1" x14ac:dyDescent="0.35">
      <c r="A99" s="3">
        <v>97</v>
      </c>
      <c r="B99" s="3" t="s">
        <v>81</v>
      </c>
      <c r="C99" s="3" t="s">
        <v>258</v>
      </c>
      <c r="D99" s="3" t="s">
        <v>171</v>
      </c>
      <c r="E99" s="7" t="s">
        <v>193</v>
      </c>
      <c r="F99" s="7"/>
      <c r="G99" s="7"/>
      <c r="H99" s="5" t="s">
        <v>194</v>
      </c>
      <c r="I99" s="12" t="s">
        <v>238</v>
      </c>
      <c r="J99" s="7"/>
      <c r="K99" s="7"/>
      <c r="L99" s="7"/>
      <c r="M99" s="7"/>
      <c r="N99" s="7"/>
      <c r="O99" s="13"/>
      <c r="P99" s="7"/>
      <c r="Q99" s="7"/>
      <c r="R99" s="7"/>
      <c r="S99" s="13"/>
      <c r="T99" s="7"/>
      <c r="U99" s="19"/>
    </row>
    <row r="100" spans="1:21" ht="18" customHeight="1" x14ac:dyDescent="0.35">
      <c r="A100" s="3">
        <v>98</v>
      </c>
      <c r="B100" s="3" t="s">
        <v>81</v>
      </c>
      <c r="C100" s="3" t="s">
        <v>258</v>
      </c>
      <c r="D100" s="3" t="s">
        <v>171</v>
      </c>
      <c r="E100" s="7" t="s">
        <v>195</v>
      </c>
      <c r="F100" s="7"/>
      <c r="G100" s="7"/>
      <c r="H100" s="5" t="s">
        <v>196</v>
      </c>
      <c r="I100" s="12" t="s">
        <v>238</v>
      </c>
      <c r="J100" s="7"/>
      <c r="K100" s="7"/>
      <c r="L100" s="7"/>
      <c r="M100" s="7"/>
      <c r="N100" s="7"/>
      <c r="O100" s="13"/>
      <c r="P100" s="7"/>
      <c r="Q100" s="7"/>
      <c r="R100" s="7"/>
      <c r="S100" s="13"/>
      <c r="T100" s="7"/>
      <c r="U100" s="19"/>
    </row>
    <row r="101" spans="1:21" ht="18" customHeight="1" x14ac:dyDescent="0.35">
      <c r="A101" s="3">
        <v>99</v>
      </c>
      <c r="B101" s="3" t="s">
        <v>81</v>
      </c>
      <c r="C101" s="3" t="s">
        <v>258</v>
      </c>
      <c r="D101" s="3" t="s">
        <v>171</v>
      </c>
      <c r="E101" s="7" t="s">
        <v>197</v>
      </c>
      <c r="F101" s="7"/>
      <c r="G101" s="7"/>
      <c r="H101" s="5" t="s">
        <v>198</v>
      </c>
      <c r="I101" s="12" t="s">
        <v>238</v>
      </c>
      <c r="J101" s="7"/>
      <c r="K101" s="7"/>
      <c r="L101" s="7"/>
      <c r="M101" s="7"/>
      <c r="N101" s="7"/>
      <c r="O101" s="13"/>
      <c r="P101" s="7"/>
      <c r="Q101" s="7"/>
      <c r="R101" s="7"/>
      <c r="S101" s="13"/>
      <c r="T101" s="7"/>
      <c r="U101" s="19"/>
    </row>
    <row r="102" spans="1:21" ht="18" customHeight="1" x14ac:dyDescent="0.35">
      <c r="A102" s="3">
        <v>100</v>
      </c>
      <c r="B102" s="3" t="s">
        <v>81</v>
      </c>
      <c r="C102" s="3" t="s">
        <v>258</v>
      </c>
      <c r="D102" s="3" t="s">
        <v>171</v>
      </c>
      <c r="E102" s="7" t="s">
        <v>199</v>
      </c>
      <c r="F102" s="7"/>
      <c r="G102" s="7"/>
      <c r="H102" s="5" t="s">
        <v>200</v>
      </c>
      <c r="I102" s="12" t="s">
        <v>238</v>
      </c>
      <c r="J102" s="7"/>
      <c r="K102" s="7"/>
      <c r="L102" s="7"/>
      <c r="M102" s="7"/>
      <c r="N102" s="7"/>
      <c r="O102" s="13"/>
      <c r="P102" s="7"/>
      <c r="Q102" s="7"/>
      <c r="R102" s="7"/>
      <c r="S102" s="13"/>
      <c r="T102" s="7"/>
      <c r="U102" s="19"/>
    </row>
    <row r="103" spans="1:21" ht="18" customHeight="1" x14ac:dyDescent="0.35">
      <c r="A103" s="3">
        <v>101</v>
      </c>
      <c r="B103" s="3" t="s">
        <v>81</v>
      </c>
      <c r="C103" s="3" t="s">
        <v>258</v>
      </c>
      <c r="D103" s="3" t="s">
        <v>171</v>
      </c>
      <c r="E103" s="7" t="s">
        <v>201</v>
      </c>
      <c r="F103" s="7"/>
      <c r="G103" s="7"/>
      <c r="H103" s="5" t="s">
        <v>202</v>
      </c>
      <c r="I103" s="12" t="s">
        <v>238</v>
      </c>
      <c r="J103" s="7"/>
      <c r="K103" s="7"/>
      <c r="L103" s="7"/>
      <c r="M103" s="7"/>
      <c r="N103" s="7"/>
      <c r="O103" s="13"/>
      <c r="P103" s="7"/>
      <c r="Q103" s="7"/>
      <c r="R103" s="7"/>
      <c r="S103" s="13"/>
      <c r="T103" s="7"/>
      <c r="U103" s="19"/>
    </row>
    <row r="104" spans="1:21" ht="18" customHeight="1" x14ac:dyDescent="0.35">
      <c r="A104" s="3">
        <v>102</v>
      </c>
      <c r="B104" s="3" t="s">
        <v>81</v>
      </c>
      <c r="C104" s="3" t="s">
        <v>258</v>
      </c>
      <c r="D104" s="3" t="s">
        <v>171</v>
      </c>
      <c r="E104" s="7" t="s">
        <v>203</v>
      </c>
      <c r="F104" s="7"/>
      <c r="G104" s="7"/>
      <c r="H104" s="5" t="s">
        <v>204</v>
      </c>
      <c r="I104" s="12" t="s">
        <v>238</v>
      </c>
      <c r="J104" s="7"/>
      <c r="K104" s="7"/>
      <c r="L104" s="7"/>
      <c r="M104" s="7"/>
      <c r="N104" s="7"/>
      <c r="O104" s="13"/>
      <c r="P104" s="7"/>
      <c r="Q104" s="7"/>
      <c r="R104" s="7"/>
      <c r="S104" s="13"/>
      <c r="T104" s="7"/>
      <c r="U104" s="19"/>
    </row>
    <row r="105" spans="1:21" ht="18" customHeight="1" x14ac:dyDescent="0.35">
      <c r="A105" s="3">
        <v>103</v>
      </c>
      <c r="B105" s="3" t="s">
        <v>17</v>
      </c>
      <c r="C105" s="3" t="s">
        <v>255</v>
      </c>
      <c r="D105" s="4" t="s">
        <v>205</v>
      </c>
      <c r="E105" s="5" t="s">
        <v>206</v>
      </c>
      <c r="F105" s="5"/>
      <c r="G105" s="5"/>
      <c r="H105" s="6" t="s">
        <v>207</v>
      </c>
      <c r="I105" s="14" t="s">
        <v>238</v>
      </c>
      <c r="J105" s="5"/>
      <c r="K105" s="5"/>
      <c r="L105" s="5"/>
      <c r="M105" s="5"/>
      <c r="N105" s="5"/>
      <c r="O105" s="12"/>
      <c r="P105" s="5"/>
      <c r="Q105" s="5"/>
      <c r="R105" s="5"/>
      <c r="S105" s="12"/>
      <c r="T105" s="6"/>
      <c r="U105" s="19"/>
    </row>
    <row r="106" spans="1:21" ht="18" customHeight="1" x14ac:dyDescent="0.35">
      <c r="A106" s="3">
        <v>104</v>
      </c>
      <c r="B106" s="3" t="s">
        <v>27</v>
      </c>
      <c r="C106" s="3" t="s">
        <v>256</v>
      </c>
      <c r="D106" s="4" t="s">
        <v>205</v>
      </c>
      <c r="E106" s="7" t="s">
        <v>208</v>
      </c>
      <c r="F106" s="7"/>
      <c r="G106" s="7"/>
      <c r="H106" s="7" t="s">
        <v>209</v>
      </c>
      <c r="I106" s="13" t="s">
        <v>238</v>
      </c>
      <c r="J106" s="7"/>
      <c r="K106" s="7"/>
      <c r="L106" s="7"/>
      <c r="M106" s="7"/>
      <c r="N106" s="7"/>
      <c r="O106" s="13"/>
      <c r="P106" s="7"/>
      <c r="Q106" s="7"/>
      <c r="R106" s="7"/>
      <c r="S106" s="13"/>
      <c r="T106" s="7"/>
      <c r="U106" s="19"/>
    </row>
    <row r="107" spans="1:21" ht="18" customHeight="1" x14ac:dyDescent="0.35">
      <c r="A107" s="3">
        <v>105</v>
      </c>
      <c r="B107" s="3" t="s">
        <v>27</v>
      </c>
      <c r="C107" s="3" t="s">
        <v>256</v>
      </c>
      <c r="D107" s="4" t="s">
        <v>205</v>
      </c>
      <c r="E107" s="7" t="s">
        <v>210</v>
      </c>
      <c r="F107" s="7"/>
      <c r="G107" s="7"/>
      <c r="H107" s="7" t="s">
        <v>211</v>
      </c>
      <c r="I107" s="13" t="s">
        <v>238</v>
      </c>
      <c r="J107" s="7"/>
      <c r="K107" s="7"/>
      <c r="L107" s="7"/>
      <c r="M107" s="7"/>
      <c r="N107" s="7"/>
      <c r="O107" s="13"/>
      <c r="P107" s="7"/>
      <c r="Q107" s="7"/>
      <c r="R107" s="7"/>
      <c r="S107" s="13"/>
      <c r="T107" s="7"/>
      <c r="U107" s="19"/>
    </row>
    <row r="108" spans="1:21" ht="18" customHeight="1" x14ac:dyDescent="0.35">
      <c r="A108" s="3">
        <v>106</v>
      </c>
      <c r="B108" s="3" t="s">
        <v>27</v>
      </c>
      <c r="C108" s="3" t="s">
        <v>256</v>
      </c>
      <c r="D108" s="4" t="s">
        <v>205</v>
      </c>
      <c r="E108" s="7" t="s">
        <v>212</v>
      </c>
      <c r="F108" s="7"/>
      <c r="G108" s="7"/>
      <c r="H108" s="7" t="s">
        <v>213</v>
      </c>
      <c r="I108" s="13" t="s">
        <v>238</v>
      </c>
      <c r="J108" s="7"/>
      <c r="K108" s="7"/>
      <c r="L108" s="7"/>
      <c r="M108" s="7"/>
      <c r="N108" s="7"/>
      <c r="O108" s="13"/>
      <c r="P108" s="7"/>
      <c r="Q108" s="7"/>
      <c r="R108" s="7"/>
      <c r="S108" s="13"/>
      <c r="T108" s="7"/>
      <c r="U108" s="19"/>
    </row>
    <row r="109" spans="1:21" ht="18" customHeight="1" x14ac:dyDescent="0.35">
      <c r="A109" s="3">
        <v>107</v>
      </c>
      <c r="B109" s="3" t="s">
        <v>76</v>
      </c>
      <c r="C109" s="3" t="s">
        <v>257</v>
      </c>
      <c r="D109" s="4" t="s">
        <v>205</v>
      </c>
      <c r="E109" s="7">
        <v>2110002101</v>
      </c>
      <c r="F109" s="7"/>
      <c r="G109" s="7"/>
      <c r="H109" s="7"/>
      <c r="I109" s="13"/>
      <c r="J109" s="7"/>
      <c r="K109" s="7"/>
      <c r="L109" s="7"/>
      <c r="M109" s="7"/>
      <c r="N109" s="7"/>
      <c r="O109" s="13"/>
      <c r="P109" s="7"/>
      <c r="Q109" s="7"/>
      <c r="R109" s="7" t="s">
        <v>214</v>
      </c>
      <c r="S109" s="13" t="s">
        <v>239</v>
      </c>
      <c r="T109" s="7"/>
      <c r="U109" s="19"/>
    </row>
    <row r="110" spans="1:21" ht="18" customHeight="1" x14ac:dyDescent="0.35">
      <c r="A110" s="3">
        <v>108</v>
      </c>
      <c r="B110" s="3" t="s">
        <v>35</v>
      </c>
      <c r="C110" s="3" t="s">
        <v>35</v>
      </c>
      <c r="D110" s="3" t="s">
        <v>205</v>
      </c>
      <c r="E110" s="7" t="s">
        <v>215</v>
      </c>
      <c r="F110" s="8"/>
      <c r="G110" s="7"/>
      <c r="H110" s="7" t="s">
        <v>216</v>
      </c>
      <c r="I110" s="13" t="s">
        <v>238</v>
      </c>
      <c r="J110" s="7"/>
      <c r="K110" s="7"/>
      <c r="L110" s="7"/>
      <c r="M110" s="7"/>
      <c r="N110" s="7"/>
      <c r="O110" s="13"/>
      <c r="P110" s="7"/>
      <c r="Q110" s="7"/>
      <c r="R110" s="7"/>
      <c r="S110" s="13"/>
      <c r="T110" s="7"/>
      <c r="U110" s="19"/>
    </row>
    <row r="111" spans="1:21" ht="18" customHeight="1" x14ac:dyDescent="0.35">
      <c r="A111" s="3">
        <v>109</v>
      </c>
      <c r="B111" s="3" t="s">
        <v>81</v>
      </c>
      <c r="C111" s="3" t="s">
        <v>258</v>
      </c>
      <c r="D111" s="3" t="s">
        <v>205</v>
      </c>
      <c r="E111" s="7" t="s">
        <v>217</v>
      </c>
      <c r="F111" s="7"/>
      <c r="G111" s="7"/>
      <c r="H111" s="5" t="s">
        <v>218</v>
      </c>
      <c r="I111" s="12" t="s">
        <v>238</v>
      </c>
      <c r="J111" s="7"/>
      <c r="K111" s="7"/>
      <c r="L111" s="7"/>
      <c r="M111" s="7"/>
      <c r="N111" s="7"/>
      <c r="O111" s="13"/>
      <c r="P111" s="7"/>
      <c r="Q111" s="7"/>
      <c r="R111" s="7"/>
      <c r="S111" s="13"/>
      <c r="T111" s="7"/>
      <c r="U111" s="19"/>
    </row>
    <row r="112" spans="1:21" ht="18" customHeight="1" x14ac:dyDescent="0.35">
      <c r="A112" s="3">
        <v>110</v>
      </c>
      <c r="B112" s="3" t="s">
        <v>81</v>
      </c>
      <c r="C112" s="3" t="s">
        <v>258</v>
      </c>
      <c r="D112" s="3" t="s">
        <v>205</v>
      </c>
      <c r="E112" s="7" t="s">
        <v>219</v>
      </c>
      <c r="F112" s="7"/>
      <c r="G112" s="7"/>
      <c r="H112" s="5" t="s">
        <v>220</v>
      </c>
      <c r="I112" s="12" t="s">
        <v>238</v>
      </c>
      <c r="J112" s="7"/>
      <c r="K112" s="7"/>
      <c r="L112" s="7"/>
      <c r="M112" s="7"/>
      <c r="N112" s="7"/>
      <c r="O112" s="13"/>
      <c r="P112" s="7"/>
      <c r="Q112" s="7"/>
      <c r="R112" s="7"/>
      <c r="S112" s="13"/>
      <c r="T112" s="7"/>
      <c r="U112" s="19"/>
    </row>
    <row r="113" spans="1:21" ht="18" customHeight="1" x14ac:dyDescent="0.35">
      <c r="A113" s="3">
        <v>111</v>
      </c>
      <c r="B113" s="3" t="s">
        <v>81</v>
      </c>
      <c r="C113" s="3" t="s">
        <v>258</v>
      </c>
      <c r="D113" s="3" t="s">
        <v>205</v>
      </c>
      <c r="E113" s="7" t="s">
        <v>221</v>
      </c>
      <c r="F113" s="7"/>
      <c r="G113" s="7"/>
      <c r="H113" s="5" t="s">
        <v>198</v>
      </c>
      <c r="I113" s="12" t="s">
        <v>238</v>
      </c>
      <c r="J113" s="7"/>
      <c r="K113" s="7"/>
      <c r="L113" s="7"/>
      <c r="M113" s="7"/>
      <c r="N113" s="7"/>
      <c r="O113" s="13"/>
      <c r="P113" s="7"/>
      <c r="Q113" s="7"/>
      <c r="R113" s="7"/>
      <c r="S113" s="13"/>
      <c r="T113" s="7"/>
      <c r="U113" s="19"/>
    </row>
    <row r="114" spans="1:21" ht="18" customHeight="1" x14ac:dyDescent="0.35">
      <c r="A114" s="3">
        <v>112</v>
      </c>
      <c r="B114" s="3" t="s">
        <v>81</v>
      </c>
      <c r="C114" s="3" t="s">
        <v>258</v>
      </c>
      <c r="D114" s="3" t="s">
        <v>205</v>
      </c>
      <c r="E114" s="7" t="s">
        <v>222</v>
      </c>
      <c r="F114" s="7"/>
      <c r="G114" s="7"/>
      <c r="H114" s="5" t="s">
        <v>152</v>
      </c>
      <c r="I114" s="12" t="s">
        <v>238</v>
      </c>
      <c r="J114" s="7"/>
      <c r="K114" s="7"/>
      <c r="L114" s="7"/>
      <c r="M114" s="7"/>
      <c r="N114" s="7"/>
      <c r="O114" s="13"/>
      <c r="P114" s="7"/>
      <c r="Q114" s="7"/>
      <c r="R114" s="7"/>
      <c r="S114" s="13"/>
      <c r="T114" s="7"/>
      <c r="U114" s="19"/>
    </row>
    <row r="115" spans="1:21" ht="18" customHeight="1" x14ac:dyDescent="0.35">
      <c r="A115" s="3">
        <v>113</v>
      </c>
      <c r="B115" s="3" t="s">
        <v>81</v>
      </c>
      <c r="C115" s="3" t="s">
        <v>258</v>
      </c>
      <c r="D115" s="3" t="s">
        <v>205</v>
      </c>
      <c r="E115" s="7" t="s">
        <v>223</v>
      </c>
      <c r="F115" s="7"/>
      <c r="G115" s="7"/>
      <c r="H115" s="5" t="s">
        <v>224</v>
      </c>
      <c r="I115" s="12" t="s">
        <v>238</v>
      </c>
      <c r="J115" s="7"/>
      <c r="K115" s="7"/>
      <c r="L115" s="7"/>
      <c r="M115" s="7"/>
      <c r="N115" s="7"/>
      <c r="O115" s="13"/>
      <c r="P115" s="7"/>
      <c r="Q115" s="7"/>
      <c r="R115" s="7"/>
      <c r="S115" s="13"/>
      <c r="T115" s="7"/>
      <c r="U115" s="19"/>
    </row>
    <row r="116" spans="1:21" ht="18" customHeight="1" x14ac:dyDescent="0.35">
      <c r="A116" s="3">
        <v>114</v>
      </c>
      <c r="B116" s="3" t="s">
        <v>81</v>
      </c>
      <c r="C116" s="3" t="s">
        <v>258</v>
      </c>
      <c r="D116" s="3" t="s">
        <v>205</v>
      </c>
      <c r="E116" s="7" t="s">
        <v>225</v>
      </c>
      <c r="F116" s="7"/>
      <c r="G116" s="7"/>
      <c r="H116" s="5" t="s">
        <v>226</v>
      </c>
      <c r="I116" s="12" t="s">
        <v>238</v>
      </c>
      <c r="J116" s="7"/>
      <c r="K116" s="7"/>
      <c r="L116" s="7"/>
      <c r="M116" s="7"/>
      <c r="N116" s="7"/>
      <c r="O116" s="13"/>
      <c r="P116" s="7"/>
      <c r="Q116" s="7"/>
      <c r="R116" s="7"/>
      <c r="S116" s="13"/>
      <c r="T116" s="7"/>
      <c r="U116" s="19"/>
    </row>
    <row r="117" spans="1:21" ht="18" customHeight="1" x14ac:dyDescent="0.35">
      <c r="A117" s="3">
        <v>115</v>
      </c>
      <c r="B117" s="3" t="s">
        <v>81</v>
      </c>
      <c r="C117" s="3" t="s">
        <v>258</v>
      </c>
      <c r="D117" s="3" t="s">
        <v>205</v>
      </c>
      <c r="E117" s="7" t="s">
        <v>227</v>
      </c>
      <c r="F117" s="7"/>
      <c r="G117" s="7"/>
      <c r="H117" s="5" t="s">
        <v>228</v>
      </c>
      <c r="I117" s="12" t="s">
        <v>238</v>
      </c>
      <c r="J117" s="7"/>
      <c r="K117" s="7"/>
      <c r="L117" s="7"/>
      <c r="M117" s="7"/>
      <c r="N117" s="7"/>
      <c r="O117" s="13"/>
      <c r="P117" s="7"/>
      <c r="Q117" s="7"/>
      <c r="R117" s="7"/>
      <c r="S117" s="13"/>
      <c r="T117" s="7"/>
      <c r="U117" s="19"/>
    </row>
    <row r="118" spans="1:21" ht="18" customHeight="1" x14ac:dyDescent="0.35">
      <c r="A118" s="3">
        <v>116</v>
      </c>
      <c r="B118" s="3" t="s">
        <v>81</v>
      </c>
      <c r="C118" s="3" t="s">
        <v>258</v>
      </c>
      <c r="D118" s="3" t="s">
        <v>205</v>
      </c>
      <c r="E118" s="7" t="s">
        <v>229</v>
      </c>
      <c r="F118" s="7"/>
      <c r="G118" s="7"/>
      <c r="H118" s="5" t="s">
        <v>230</v>
      </c>
      <c r="I118" s="12" t="s">
        <v>238</v>
      </c>
      <c r="J118" s="7"/>
      <c r="K118" s="7"/>
      <c r="L118" s="7"/>
      <c r="M118" s="7"/>
      <c r="N118" s="7"/>
      <c r="O118" s="13"/>
      <c r="P118" s="7"/>
      <c r="Q118" s="7"/>
      <c r="R118" s="7"/>
      <c r="S118" s="13"/>
      <c r="T118" s="7"/>
      <c r="U118" s="19"/>
    </row>
    <row r="119" spans="1:21" ht="18" customHeight="1" x14ac:dyDescent="0.35">
      <c r="A119" s="3">
        <v>117</v>
      </c>
      <c r="B119" s="3" t="s">
        <v>95</v>
      </c>
      <c r="C119" s="3" t="s">
        <v>259</v>
      </c>
      <c r="D119" s="3" t="s">
        <v>205</v>
      </c>
      <c r="E119" s="7" t="s">
        <v>231</v>
      </c>
      <c r="F119" s="7"/>
      <c r="G119" s="7"/>
      <c r="H119" s="10" t="s">
        <v>232</v>
      </c>
      <c r="I119" s="15" t="s">
        <v>238</v>
      </c>
      <c r="J119" s="7"/>
      <c r="K119" s="7"/>
      <c r="L119" s="7"/>
      <c r="M119" s="7"/>
      <c r="N119" s="7"/>
      <c r="O119" s="13"/>
      <c r="P119" s="7"/>
      <c r="Q119" s="7"/>
      <c r="R119" s="7"/>
      <c r="S119" s="13"/>
      <c r="T119" s="7"/>
      <c r="U119" s="19"/>
    </row>
    <row r="120" spans="1:21" ht="18" customHeight="1" x14ac:dyDescent="0.35">
      <c r="A120" s="3">
        <v>118</v>
      </c>
      <c r="B120" s="3" t="s">
        <v>95</v>
      </c>
      <c r="C120" s="3" t="s">
        <v>259</v>
      </c>
      <c r="D120" s="3" t="s">
        <v>205</v>
      </c>
      <c r="E120" s="7" t="s">
        <v>233</v>
      </c>
      <c r="F120" s="7"/>
      <c r="G120" s="7"/>
      <c r="H120" s="5" t="s">
        <v>234</v>
      </c>
      <c r="I120" s="12" t="s">
        <v>238</v>
      </c>
      <c r="J120" s="7"/>
      <c r="K120" s="7"/>
      <c r="L120" s="7"/>
      <c r="M120" s="7"/>
      <c r="N120" s="7"/>
      <c r="O120" s="13"/>
      <c r="P120" s="7"/>
      <c r="Q120" s="7"/>
      <c r="R120" s="7"/>
      <c r="S120" s="13"/>
      <c r="T120" s="7"/>
      <c r="U120" s="19"/>
    </row>
    <row r="121" spans="1:21" ht="18" customHeight="1" x14ac:dyDescent="0.35">
      <c r="A121" s="3">
        <v>119</v>
      </c>
      <c r="B121" s="3" t="s">
        <v>95</v>
      </c>
      <c r="C121" s="3" t="s">
        <v>259</v>
      </c>
      <c r="D121" s="3" t="s">
        <v>205</v>
      </c>
      <c r="E121" s="7" t="s">
        <v>235</v>
      </c>
      <c r="F121" s="7"/>
      <c r="G121" s="7"/>
      <c r="H121" s="5" t="s">
        <v>236</v>
      </c>
      <c r="I121" s="12" t="s">
        <v>238</v>
      </c>
      <c r="J121" s="7"/>
      <c r="K121" s="7"/>
      <c r="L121" s="7"/>
      <c r="M121" s="7"/>
      <c r="N121" s="7"/>
      <c r="O121" s="13"/>
      <c r="P121" s="7"/>
      <c r="Q121" s="7"/>
      <c r="R121" s="7"/>
      <c r="S121" s="13"/>
      <c r="T121" s="7"/>
      <c r="U121" s="19"/>
    </row>
    <row r="122" spans="1:21" x14ac:dyDescent="0.35">
      <c r="I122">
        <f>COUNTIFS(I3:I121, "a")</f>
        <v>79</v>
      </c>
      <c r="S122">
        <f>COUNTIFS(S3:S121, "C")</f>
        <v>13</v>
      </c>
      <c r="U122">
        <f>COUNTIFS(U3:U121, "D")</f>
        <v>26</v>
      </c>
    </row>
  </sheetData>
  <autoFilter ref="A1:T121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7">
    <mergeCell ref="W2:AK2"/>
    <mergeCell ref="A1:A2"/>
    <mergeCell ref="B1:B2"/>
    <mergeCell ref="D1:D2"/>
    <mergeCell ref="E1:E2"/>
    <mergeCell ref="F1:T1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26"/>
  <sheetViews>
    <sheetView tabSelected="1" topLeftCell="N25" workbookViewId="0">
      <selection activeCell="X29" sqref="X29"/>
    </sheetView>
  </sheetViews>
  <sheetFormatPr defaultRowHeight="14.5" x14ac:dyDescent="0.35"/>
  <cols>
    <col min="1" max="1" width="3.54296875" customWidth="1"/>
    <col min="2" max="2" width="12.54296875" bestFit="1" customWidth="1"/>
    <col min="3" max="7" width="6.26953125" bestFit="1" customWidth="1"/>
    <col min="8" max="8" width="2.81640625" customWidth="1"/>
    <col min="9" max="9" width="12.54296875" bestFit="1" customWidth="1"/>
    <col min="10" max="14" width="6.26953125" bestFit="1" customWidth="1"/>
    <col min="15" max="15" width="1.81640625" customWidth="1"/>
    <col min="16" max="16" width="12.54296875" bestFit="1" customWidth="1"/>
    <col min="17" max="21" width="6.26953125" bestFit="1" customWidth="1"/>
    <col min="22" max="22" width="1.54296875" customWidth="1"/>
    <col min="23" max="23" width="12.54296875" bestFit="1" customWidth="1"/>
    <col min="24" max="28" width="6.26953125" bestFit="1" customWidth="1"/>
    <col min="29" max="29" width="2.453125" customWidth="1"/>
    <col min="30" max="30" width="22.7265625" customWidth="1"/>
    <col min="31" max="35" width="6.26953125" bestFit="1" customWidth="1"/>
  </cols>
  <sheetData>
    <row r="2" spans="2:36" ht="36.75" customHeight="1" x14ac:dyDescent="0.35">
      <c r="B2" s="37" t="s">
        <v>7</v>
      </c>
      <c r="C2" s="38"/>
      <c r="D2" s="38"/>
      <c r="E2" s="38"/>
      <c r="F2" s="38"/>
      <c r="G2" s="39"/>
      <c r="I2" s="37" t="s">
        <v>12</v>
      </c>
      <c r="J2" s="38"/>
      <c r="K2" s="38"/>
      <c r="L2" s="38"/>
      <c r="M2" s="38"/>
      <c r="N2" s="39"/>
      <c r="P2" s="37" t="s">
        <v>15</v>
      </c>
      <c r="Q2" s="38"/>
      <c r="R2" s="38"/>
      <c r="S2" s="38"/>
      <c r="T2" s="38"/>
      <c r="U2" s="39"/>
      <c r="W2" s="40" t="s">
        <v>254</v>
      </c>
      <c r="X2" s="41"/>
      <c r="Y2" s="41"/>
      <c r="Z2" s="41"/>
      <c r="AA2" s="41"/>
      <c r="AB2" s="42"/>
      <c r="AD2" s="44" t="s">
        <v>261</v>
      </c>
      <c r="AE2" s="45"/>
      <c r="AF2" s="45"/>
      <c r="AG2" s="45"/>
      <c r="AH2" s="45"/>
      <c r="AI2" s="45"/>
      <c r="AJ2" s="46"/>
    </row>
    <row r="3" spans="2:36" ht="15.5" x14ac:dyDescent="0.35">
      <c r="B3" s="21"/>
      <c r="C3" s="21" t="s">
        <v>244</v>
      </c>
      <c r="D3" s="21" t="s">
        <v>245</v>
      </c>
      <c r="E3" s="21" t="s">
        <v>246</v>
      </c>
      <c r="F3" s="21" t="s">
        <v>247</v>
      </c>
      <c r="G3" s="21" t="s">
        <v>248</v>
      </c>
      <c r="I3" s="21"/>
      <c r="J3" s="21" t="s">
        <v>244</v>
      </c>
      <c r="K3" s="21" t="s">
        <v>245</v>
      </c>
      <c r="L3" s="21" t="s">
        <v>246</v>
      </c>
      <c r="M3" s="21" t="s">
        <v>247</v>
      </c>
      <c r="N3" s="21" t="s">
        <v>248</v>
      </c>
      <c r="P3" s="21"/>
      <c r="Q3" s="21" t="s">
        <v>244</v>
      </c>
      <c r="R3" s="21" t="s">
        <v>245</v>
      </c>
      <c r="S3" s="21" t="s">
        <v>246</v>
      </c>
      <c r="T3" s="21" t="s">
        <v>247</v>
      </c>
      <c r="U3" s="21" t="s">
        <v>248</v>
      </c>
      <c r="W3" s="21"/>
      <c r="X3" s="21" t="s">
        <v>244</v>
      </c>
      <c r="Y3" s="21" t="s">
        <v>245</v>
      </c>
      <c r="Z3" s="21" t="s">
        <v>246</v>
      </c>
      <c r="AA3" s="21" t="s">
        <v>247</v>
      </c>
      <c r="AB3" s="21" t="s">
        <v>248</v>
      </c>
      <c r="AD3" s="21"/>
      <c r="AE3" s="47" t="s">
        <v>244</v>
      </c>
      <c r="AF3" s="47" t="s">
        <v>245</v>
      </c>
      <c r="AG3" s="47" t="s">
        <v>246</v>
      </c>
      <c r="AH3" s="47" t="s">
        <v>247</v>
      </c>
      <c r="AI3" s="47" t="s">
        <v>248</v>
      </c>
      <c r="AJ3" s="48" t="s">
        <v>265</v>
      </c>
    </row>
    <row r="4" spans="2:36" ht="15.5" x14ac:dyDescent="0.35">
      <c r="B4" s="21" t="s">
        <v>17</v>
      </c>
      <c r="C4" s="22">
        <f>COUNTIFS('523'!$D$3:'523'!$D$121, "2015-2016", '523'!$C$3:'523'!$C$121, "CE", '523'!$I$3:'523'!$I$121, "A")</f>
        <v>1</v>
      </c>
      <c r="D4" s="22">
        <f>COUNTIFS('523'!$D$3:'523'!$D$121, "2016-2017", '523'!$C$3:'523'!$C$121, "CE", '523'!$I$3:'523'!$I$121, "A")</f>
        <v>4</v>
      </c>
      <c r="E4" s="22">
        <f>COUNTIFS('523'!$D$3:'523'!$D$121, "2017-2018", '523'!$C$3:'523'!$C$121, "CE", '523'!$I$3:'523'!$I$121, "A")</f>
        <v>5</v>
      </c>
      <c r="F4" s="22">
        <f>COUNTIFS('523'!$D$3:'523'!$D$121, "2018-2019", '523'!$C$3:'523'!$C$121, "CE", '523'!$I$3:'523'!$I$121, "A")</f>
        <v>3</v>
      </c>
      <c r="G4" s="22">
        <f>COUNTIFS('523'!$D$3:'523'!$D$121, "2019-2020", '523'!$C$3:'523'!$C$121, "CE", '523'!$I$3:'523'!$I$121, "A")</f>
        <v>1</v>
      </c>
      <c r="H4" s="23"/>
      <c r="I4" s="21" t="s">
        <v>17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P4" s="21" t="s">
        <v>17</v>
      </c>
      <c r="Q4" s="22">
        <f>COUNTIFS('523'!$D$3:'523'!$D$121, "2015-2016", '523'!$C$3:'523'!$C$121, "CE", '523'!$S$3:'523'!$S$121, "C")</f>
        <v>0</v>
      </c>
      <c r="R4" s="22">
        <f>COUNTIFS('523'!$D$3:'523'!$D$121, "2016-2017", '523'!$C$3:'523'!$C$121, "CE", '523'!$S$3:'523'!$S$121, "C")</f>
        <v>0</v>
      </c>
      <c r="S4" s="22">
        <f>COUNTIFS('523'!$D$3:'523'!$D$121, "2017-2018", '523'!$C$3:'523'!$C$121, "CE", '523'!$S$3:'523'!$S$121, "C")</f>
        <v>0</v>
      </c>
      <c r="T4" s="22">
        <f>COUNTIFS('523'!$D$3:'523'!$D$121, "2018-2019", '523'!$C$3:'523'!$C$121, "CE", '523'!$S$3:'523'!$S$121, "C")</f>
        <v>0</v>
      </c>
      <c r="U4" s="22">
        <f>COUNTIFS('523'!$D$3:'523'!$D$121, "2019-2020", '523'!$C$3:'523'!$C$121, "CE", '523'!$S$3:'523'!$S$121, "C")</f>
        <v>0</v>
      </c>
      <c r="W4" s="21" t="s">
        <v>17</v>
      </c>
      <c r="X4" s="22">
        <f>COUNTIFS('523'!$D$3:'523'!$D$121, "2015-2016", '523'!$C$3:'523'!$C$121, "CE", '523'!$U$3:'523'!$U$121, "D")</f>
        <v>5</v>
      </c>
      <c r="Y4" s="22">
        <f>COUNTIFS('523'!$D$3:'523'!$D$121, "2016-2017", '523'!$C$3:'523'!$C$121, "CE", '523'!$U$3:'523'!$U$121, "D")</f>
        <v>17</v>
      </c>
      <c r="Z4" s="22">
        <f>COUNTIFS('523'!$D$3:'523'!$D$121, "2017-2018", '523'!$C$3:'523'!$C$121, "CE", '523'!$U$3:'523'!$U$121, "D")</f>
        <v>3</v>
      </c>
      <c r="AA4" s="22">
        <f>COUNTIFS('523'!$D$3:'523'!$D$121, "2018-2019", '523'!$C$3:'523'!$C$121, "CE", '523'!$U$3:'523'!$U$121, "D")</f>
        <v>0</v>
      </c>
      <c r="AB4" s="22">
        <f>COUNTIFS('523'!$D$3:'523'!$D$121, "2019-2020", '523'!$C$3:'523'!$C$121, "CE", '523'!$U$3:'523'!$U$121, "D")</f>
        <v>0</v>
      </c>
      <c r="AD4" s="47" t="s">
        <v>17</v>
      </c>
      <c r="AE4" s="22">
        <f>C4+J4+Q4+X4</f>
        <v>6</v>
      </c>
      <c r="AF4" s="22">
        <f t="shared" ref="AF4:AI4" si="0">D4+K4+R4+Y4</f>
        <v>21</v>
      </c>
      <c r="AG4" s="22">
        <f t="shared" si="0"/>
        <v>8</v>
      </c>
      <c r="AH4" s="22">
        <f t="shared" si="0"/>
        <v>3</v>
      </c>
      <c r="AI4" s="22">
        <f t="shared" si="0"/>
        <v>1</v>
      </c>
      <c r="AJ4" s="49"/>
    </row>
    <row r="5" spans="2:36" ht="15.5" x14ac:dyDescent="0.35">
      <c r="B5" s="21" t="s">
        <v>27</v>
      </c>
      <c r="C5" s="22">
        <f>COUNTIFS('523'!$D$3:'523'!$D$121, "2015-2016", '523'!$C$3:'523'!$C$121, "Comp", '523'!$I$3:'523'!$I$121, "A")</f>
        <v>1</v>
      </c>
      <c r="D5" s="22">
        <f>COUNTIFS('523'!$D$3:'523'!$D$121, "2016-2017", '523'!$C$3:'523'!$C$121, "Comp", '523'!$I$3:'523'!$I$121, "A")</f>
        <v>2</v>
      </c>
      <c r="E5" s="22">
        <f>COUNTIFS('523'!$D$3:'523'!$D$121, "2017-2018", '523'!$C$3:'523'!$C$121, "Comp", '523'!$I$3:'523'!$I$121, "A")</f>
        <v>2</v>
      </c>
      <c r="F5" s="22">
        <f>COUNTIFS('523'!$D$3:'523'!$D$121, "2018-2019", '523'!$C$3:'523'!$C$121, "Comp", '523'!$I$3:'523'!$I$121, "A")</f>
        <v>4</v>
      </c>
      <c r="G5" s="22">
        <f>COUNTIFS('523'!$D$3:'523'!$D$121, "2019-2020", '523'!$C$3:'523'!$C$121, "Comp", '523'!$I$3:'523'!$I$121, "A")</f>
        <v>3</v>
      </c>
      <c r="H5" s="23"/>
      <c r="I5" s="21" t="s">
        <v>27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P5" s="21" t="s">
        <v>27</v>
      </c>
      <c r="Q5" s="22">
        <f>COUNTIFS('523'!$D$3:'523'!$D$121, "2015-2016", '523'!$C$3:'523'!$C$121, "Comp",'523'!$S$3:'523'!$S$121, "C")</f>
        <v>0</v>
      </c>
      <c r="R5" s="22">
        <f>COUNTIFS('523'!$D$3:'523'!$D$121, "2016-2017", '523'!$C$3:'523'!$C$121, "Comp", '523'!$S$3:'523'!$S$121, "C")</f>
        <v>3</v>
      </c>
      <c r="S5" s="22">
        <f>COUNTIFS('523'!$D$3:'523'!$D$121, "2017-2018", '523'!$C$3:'523'!$C$121, "Comp", '523'!$S$3:'523'!$S$121, "C")</f>
        <v>0</v>
      </c>
      <c r="T5" s="22">
        <f>COUNTIFS('523'!$D$3:'523'!$D$121, "2018-2019", '523'!$C$3:'523'!$C$121, "Comp", '523'!$S$3:'523'!$S$121, "C")</f>
        <v>0</v>
      </c>
      <c r="U5" s="22">
        <f>COUNTIFS('523'!$D$3:'523'!$D$121, "2019-2020", '523'!$C$3:'523'!$C$121, "Comp", '523'!$S$3:'523'!$S$121, "C")</f>
        <v>0</v>
      </c>
      <c r="W5" s="21" t="s">
        <v>27</v>
      </c>
      <c r="X5" s="22">
        <f>COUNTIFS('523'!$D$3:'523'!$D$121, "2015-2016", '523'!$C$3:'523'!$C$121, "Comp",'523'!$U$3:'523'!$U$121, "D")</f>
        <v>1</v>
      </c>
      <c r="Y5" s="22">
        <f>COUNTIFS('523'!$D$3:'523'!$D$121, "2016-2017", '523'!$C$3:'523'!$C$121, "Comp", '523'!$U$3:'523'!$U$121, "D")</f>
        <v>0</v>
      </c>
      <c r="Z5" s="22">
        <f>COUNTIFS('523'!$D$3:'523'!$D$121, "2017-2018", '523'!$C$3:'523'!$C$121, "Comp", '523'!$S$3:'523'!$S$121, "C")</f>
        <v>0</v>
      </c>
      <c r="AA5" s="22">
        <f>COUNTIFS('523'!$D$3:'523'!$D$121, "2018-2019", '523'!$C$3:'523'!$C$121, "Comp", '523'!$U$3:'523'!$U$121, "D")</f>
        <v>0</v>
      </c>
      <c r="AB5" s="22">
        <f>COUNTIFS('523'!$D$3:'523'!$D$121, "2019-2020", '523'!$C$3:'523'!$C$121, "Comp", '523'!$U$3:'523'!$U$121, "D")</f>
        <v>0</v>
      </c>
      <c r="AD5" s="47" t="s">
        <v>27</v>
      </c>
      <c r="AE5" s="22">
        <f t="shared" ref="AE5:AE12" si="1">C5+J5+Q5+X5</f>
        <v>2</v>
      </c>
      <c r="AF5" s="22">
        <f t="shared" ref="AF5:AF12" si="2">D5+K5+R5+Y5</f>
        <v>5</v>
      </c>
      <c r="AG5" s="22">
        <f t="shared" ref="AG5:AG12" si="3">E5+L5+S5+Z5</f>
        <v>2</v>
      </c>
      <c r="AH5" s="22">
        <f t="shared" ref="AH5:AH12" si="4">F5+M5+T5+AA5</f>
        <v>4</v>
      </c>
      <c r="AI5" s="22">
        <f t="shared" ref="AI5:AI12" si="5">G5+N5+U5+AB5</f>
        <v>3</v>
      </c>
      <c r="AJ5" s="49"/>
    </row>
    <row r="6" spans="2:36" ht="15.5" x14ac:dyDescent="0.35">
      <c r="B6" s="21" t="s">
        <v>249</v>
      </c>
      <c r="C6" s="22">
        <f>COUNTIFS('523'!$D$3:'523'!$D$121, "2015-2016", '523'!$C$3:'523'!$C$121, "EE", '523'!$I$3:'523'!$I$121, "A")</f>
        <v>0</v>
      </c>
      <c r="D6" s="22">
        <f>COUNTIFS('523'!$D$3:'523'!$D$121, "2016-2017", '523'!$C$3:'523'!$C$121, "EE", '523'!$I$3:'523'!$I$121, "A")</f>
        <v>1</v>
      </c>
      <c r="E6" s="22">
        <f>COUNTIFS('523'!$D$3:'523'!$D$121, "2017-2018", '523'!$C$3:'523'!$C$121, "EE", '523'!$I$3:'523'!$I$121, "A")</f>
        <v>1</v>
      </c>
      <c r="F6" s="22">
        <f>COUNTIFS('523'!$D$3:'523'!$D$121, "2018-2019", '523'!$C$3:'523'!$C$121, "EE", '523'!$I$3:'523'!$I$121, "A")</f>
        <v>2</v>
      </c>
      <c r="G6" s="22">
        <f>COUNTIFS('523'!$D$3:'523'!$D$121, "2019-2020", '523'!$C$3:'523'!$C$121, "EE", '523'!$I$3:'523'!$I$121, "A")</f>
        <v>0</v>
      </c>
      <c r="H6" s="23"/>
      <c r="I6" s="21" t="s">
        <v>249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P6" s="21" t="s">
        <v>249</v>
      </c>
      <c r="Q6" s="22">
        <f>COUNTIFS('523'!$D$3:'523'!$D$121, "2015-2016", '523'!$C$3:'523'!$C$121, "EE", '523'!$S$3:'523'!$S$121, "C")</f>
        <v>0</v>
      </c>
      <c r="R6" s="22">
        <f>COUNTIFS('523'!$D$3:'523'!$D$121, "2016-2017", '523'!$C$3:'523'!$C$121, "EE", '523'!$S$3:'523'!$S$121, "C")</f>
        <v>1</v>
      </c>
      <c r="S6" s="22">
        <f>COUNTIFS('523'!$D$3:'523'!$D$121, "2017-2018", '523'!$C$3:'523'!$C$121, "EE", '523'!$S$3:'523'!$S$121, "C")</f>
        <v>0</v>
      </c>
      <c r="T6" s="22">
        <f>COUNTIFS('523'!$D$3:'523'!$D$121, "2018-2019", '523'!$C$3:'523'!$C$121, "EE", '523'!$S$3:'523'!$S$121, "C")</f>
        <v>0</v>
      </c>
      <c r="U6" s="22">
        <f>COUNTIFS('523'!$D$3:'523'!$D$121, "2019-2020", '523'!$C$3:'523'!$C$121, "EE", '523'!$S$3:'523'!$S$121, "C")</f>
        <v>1</v>
      </c>
      <c r="W6" s="21" t="s">
        <v>249</v>
      </c>
      <c r="X6" s="22">
        <f>COUNTIFS('523'!$D$3:'523'!$D$121, "2015-2016", '523'!$C$3:'523'!$C$121, "EE", '523'!$U$3:'523'!$U$121, "D")</f>
        <v>0</v>
      </c>
      <c r="Y6" s="22">
        <f>COUNTIFS('523'!$D$3:'523'!$D$121, "2016-2017", '523'!$C$3:'523'!$C$121, "EE", '523'!$U$3:'523'!$U$121, "D")</f>
        <v>0</v>
      </c>
      <c r="Z6" s="22">
        <f>COUNTIFS('523'!$D$3:'523'!$D$121, "2017-2018", '523'!$C$3:'523'!$C$121, "EE",'523'!$U$3:'523'!$U$121, "D")</f>
        <v>0</v>
      </c>
      <c r="AA6" s="22">
        <f>COUNTIFS('523'!$D$3:'523'!$D$121, "2018-2019", '523'!$C$3:'523'!$C$121, "EE", '523'!$U$3:'523'!$U$121, "D")</f>
        <v>0</v>
      </c>
      <c r="AB6" s="22">
        <f>COUNTIFS('523'!$D$3:'523'!$D$121, "2019-2020", '523'!$C$3:'523'!$C$121, "EE",'523'!$U$3:'523'!$U$121, "D")</f>
        <v>0</v>
      </c>
      <c r="AD6" s="47" t="s">
        <v>249</v>
      </c>
      <c r="AE6" s="22">
        <f t="shared" si="1"/>
        <v>0</v>
      </c>
      <c r="AF6" s="22">
        <f t="shared" si="2"/>
        <v>2</v>
      </c>
      <c r="AG6" s="22">
        <f t="shared" si="3"/>
        <v>1</v>
      </c>
      <c r="AH6" s="22">
        <f t="shared" si="4"/>
        <v>2</v>
      </c>
      <c r="AI6" s="22">
        <f t="shared" si="5"/>
        <v>1</v>
      </c>
      <c r="AJ6" s="49"/>
    </row>
    <row r="7" spans="2:36" ht="15.5" x14ac:dyDescent="0.35">
      <c r="B7" s="21" t="s">
        <v>250</v>
      </c>
      <c r="C7" s="22">
        <f>COUNTIFS('523'!$D$3:'523'!$D$121, "2015-2016", '523'!$C$3:'523'!$C$121, "Elex", '523'!$I$3:'523'!$I$121, "A")</f>
        <v>0</v>
      </c>
      <c r="D7" s="22">
        <f>COUNTIFS('523'!$D$3:'523'!$D$121, "2016-2017", '523'!$C$3:'523'!$C$121, "Elex", '523'!$I$3:'523'!$I$121, "A")</f>
        <v>0</v>
      </c>
      <c r="E7" s="22">
        <f>COUNTIFS('523'!$D$3:'523'!$D$121, "2017-2018", '523'!$C$3:'523'!$C$121, "Elex", '523'!$I$3:'523'!$I$121, "A")</f>
        <v>0</v>
      </c>
      <c r="F7" s="22">
        <f>COUNTIFS('523'!$D$3:'523'!$D$121, "2018-2019", '523'!$C$3:'523'!$C$121, "Elex", '523'!$I$3:'523'!$I$121, "A")</f>
        <v>0</v>
      </c>
      <c r="G7" s="22">
        <f>COUNTIFS('523'!$D$3:'523'!$D$121, "2019-2020", '523'!$C$3:'523'!$C$121, "Elex", '523'!$I$3:'523'!$I$121, "A")</f>
        <v>0</v>
      </c>
      <c r="H7" s="23"/>
      <c r="I7" s="21" t="s">
        <v>250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P7" s="21" t="s">
        <v>250</v>
      </c>
      <c r="Q7" s="22">
        <f>COUNTIFS('523'!$D$3:'523'!$D$121, "2015-2016", '523'!$C$3:'523'!$C$121, "Elex", '523'!$S$3:'523'!$S$121, "C")</f>
        <v>0</v>
      </c>
      <c r="R7" s="22">
        <f>COUNTIFS('523'!$D$3:'523'!$D$121, "2016-2017", '523'!$C$3:'523'!$C$121, "Elex", '523'!$S$3:'523'!$S$121, "C")</f>
        <v>0</v>
      </c>
      <c r="S7" s="22">
        <f>COUNTIFS('523'!$D$3:'523'!$D$121, "2017-2018", '523'!$C$3:'523'!$C$121, "Elex", '523'!$S$3:'523'!$S$121, "C")</f>
        <v>0</v>
      </c>
      <c r="T7" s="22">
        <f>COUNTIFS('523'!$D$3:'523'!$D$121, "2018-2019", '523'!$C$3:'523'!$C$121, "Elex",'523'!$S$3:'523'!$S$121, "C")</f>
        <v>0</v>
      </c>
      <c r="U7" s="22">
        <f>COUNTIFS('523'!$D$3:'523'!$D$121, "2019-2020", '523'!$C$3:'523'!$C$121, "Elex", '523'!$S$3:'523'!$S$121, "C")</f>
        <v>0</v>
      </c>
      <c r="W7" s="21" t="s">
        <v>250</v>
      </c>
      <c r="X7" s="22">
        <f>COUNTIFS('523'!$D$3:'523'!$D$121, "2015-2016", '523'!$C$3:'523'!$C$121, "Elex", '523'!$U$3:'523'!$U$121, "D")</f>
        <v>0</v>
      </c>
      <c r="Y7" s="22">
        <f>COUNTIFS('523'!$D$3:'523'!$D$121, "2016-2017", '523'!$C$3:'523'!$C$121, "Elex", '523'!$U$3:'523'!$U$121, "D")</f>
        <v>0</v>
      </c>
      <c r="Z7" s="22">
        <f>COUNTIFS('523'!$D$3:'523'!$D$121, "2017-2018", '523'!$C$3:'523'!$C$121, "Elex", '523'!$U$3:'523'!$U$121, "D")</f>
        <v>0</v>
      </c>
      <c r="AA7" s="22">
        <f>COUNTIFS('523'!$D$3:'523'!$D$121, "2018-2019", '523'!$C$3:'523'!$C$121, "Elex",'523'!$U$3:'523'!$U$121, "D")</f>
        <v>0</v>
      </c>
      <c r="AB7" s="22">
        <f>COUNTIFS('523'!$D$3:'523'!$D$121, "2019-2020", '523'!$C$3:'523'!$C$121, "Elex", '523'!$U$3:'523'!$U$121, "D")</f>
        <v>0</v>
      </c>
      <c r="AD7" s="47" t="s">
        <v>250</v>
      </c>
      <c r="AE7" s="22">
        <f t="shared" si="1"/>
        <v>0</v>
      </c>
      <c r="AF7" s="22">
        <f t="shared" si="2"/>
        <v>0</v>
      </c>
      <c r="AG7" s="22">
        <f t="shared" si="3"/>
        <v>0</v>
      </c>
      <c r="AH7" s="22">
        <f t="shared" si="4"/>
        <v>0</v>
      </c>
      <c r="AI7" s="22">
        <f t="shared" si="5"/>
        <v>0</v>
      </c>
      <c r="AJ7" s="49"/>
    </row>
    <row r="8" spans="2:36" ht="15.5" x14ac:dyDescent="0.35">
      <c r="B8" s="21" t="s">
        <v>251</v>
      </c>
      <c r="C8" s="22">
        <f>COUNTIFS('523'!$D$3:'523'!$D$121, "2015-2016", '523'!$C$3:'523'!$C$121, "ETC", '523'!$I$3:'523'!$I$121, "A")</f>
        <v>0</v>
      </c>
      <c r="D8" s="22">
        <f>COUNTIFS('523'!$D$3:'523'!$D$121, "2016-2017", '523'!$C$3:'523'!$C$121, "ETC", '523'!$I$3:'523'!$I$121, "A")</f>
        <v>0</v>
      </c>
      <c r="E8" s="22">
        <f>COUNTIFS('523'!$D$3:'523'!$D$121, "2017-2018", '523'!$C$3:'523'!$C$121, "ETC", '523'!$I$3:'523'!$I$121, "A")</f>
        <v>0</v>
      </c>
      <c r="F8" s="22">
        <f>COUNTIFS('523'!$D$3:'523'!$D$121, "2018-2019", '523'!$C$3:'523'!$C$121, "ETC", '523'!$I$3:'523'!$I$121, "A")</f>
        <v>0</v>
      </c>
      <c r="G8" s="22">
        <f>COUNTIFS('523'!$D$3:'523'!$D$121, "2019-2020", '523'!$C$3:'523'!$C$121, "ETC", '523'!$I$3:'523'!$I$121, "A")</f>
        <v>0</v>
      </c>
      <c r="H8" s="23"/>
      <c r="I8" s="21" t="s">
        <v>251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P8" s="21" t="s">
        <v>251</v>
      </c>
      <c r="Q8" s="22">
        <f>COUNTIFS('523'!$D$3:'523'!$D$121, "2015-2016", '523'!$C$3:'523'!$C$121, "ETC",'523'!$S$3:'523'!$S$121, "C")</f>
        <v>2</v>
      </c>
      <c r="R8" s="22">
        <f>COUNTIFS('523'!$D$3:'523'!$D$121, "2016-2017", '523'!$C$3:'523'!$C$121, "ETC", '523'!$S$3:'523'!$S$121, "C")</f>
        <v>0</v>
      </c>
      <c r="S8" s="22">
        <f>COUNTIFS('523'!$D$3:'523'!$D$121, "2017-2018", '523'!$C$3:'523'!$C$121, "ETC", '523'!$S$3:'523'!$S$121, "C")</f>
        <v>0</v>
      </c>
      <c r="T8" s="22">
        <f>COUNTIFS('523'!$D$3:'523'!$D$121, "2018-2019", '523'!$C$3:'523'!$C$121, "ETC", '523'!$S$3:'523'!$S$121, "C")</f>
        <v>0</v>
      </c>
      <c r="U8" s="22">
        <f>COUNTIFS('523'!$D$3:'523'!$D$121, "2019-2020", '523'!$C$3:'523'!$C$121, "ETC",'523'!$S$3:'523'!$S$121, "C")</f>
        <v>0</v>
      </c>
      <c r="W8" s="21" t="s">
        <v>251</v>
      </c>
      <c r="X8" s="22">
        <f>COUNTIFS('523'!$D$3:'523'!$D$121, "2015-2016", '523'!$C$3:'523'!$C$121, "ETC",'523'!$U$3:'523'!$U$121, "D")</f>
        <v>0</v>
      </c>
      <c r="Y8" s="22">
        <f>COUNTIFS('523'!$D$3:'523'!$D$121, "2016-2017", '523'!$C$3:'523'!$C$121, "ETC", '523'!$U$3:'523'!$U$121, "D")</f>
        <v>0</v>
      </c>
      <c r="Z8" s="22">
        <f>COUNTIFS('523'!$D$3:'523'!$D$121, "2017-2018", '523'!$C$3:'523'!$C$121, "ETC", '523'!$U$3:'523'!$U$121, "D")</f>
        <v>0</v>
      </c>
      <c r="AA8" s="22">
        <f>COUNTIFS('523'!$D$3:'523'!$D$121, "2018-2019", '523'!$C$3:'523'!$C$121, "ETC", '523'!$U$3:'523'!$U$121, "D")</f>
        <v>0</v>
      </c>
      <c r="AB8" s="22">
        <f>COUNTIFS('523'!$D$3:'523'!$D$121, "2019-2020", '523'!$C$3:'523'!$C$121, "ETC",'523'!$U$3:'523'!$U$121, "D")</f>
        <v>0</v>
      </c>
      <c r="AD8" s="47" t="s">
        <v>251</v>
      </c>
      <c r="AE8" s="22">
        <f t="shared" si="1"/>
        <v>2</v>
      </c>
      <c r="AF8" s="22">
        <f t="shared" si="2"/>
        <v>0</v>
      </c>
      <c r="AG8" s="22">
        <f t="shared" si="3"/>
        <v>0</v>
      </c>
      <c r="AH8" s="22">
        <f t="shared" si="4"/>
        <v>0</v>
      </c>
      <c r="AI8" s="22">
        <f t="shared" si="5"/>
        <v>0</v>
      </c>
      <c r="AJ8" s="49"/>
    </row>
    <row r="9" spans="2:36" ht="15.5" x14ac:dyDescent="0.35">
      <c r="B9" s="21" t="s">
        <v>35</v>
      </c>
      <c r="C9" s="22">
        <f>COUNTIFS('523'!$D$3:'523'!$D$121, "2015-2016", '523'!$C$3:'523'!$C$121, "IT", '523'!$I$3:'523'!$I$121, "A")</f>
        <v>1</v>
      </c>
      <c r="D9" s="22">
        <f>COUNTIFS('523'!$D$3:'523'!$D$121, "2016-2017", '523'!$C$3:'523'!$C$121, "IT", '523'!$I$3:'523'!$I$121, "A")</f>
        <v>1</v>
      </c>
      <c r="E9" s="22">
        <f>COUNTIFS('523'!$D$3:'523'!$D$121, "2017-2018", '523'!$C$3:'523'!$C$121, "IT", '523'!$I$3:'523'!$I$121, "A")</f>
        <v>0</v>
      </c>
      <c r="F9" s="22">
        <f>COUNTIFS('523'!$D$3:'523'!$D$121, "2018-2019", '523'!$C$3:'523'!$C$121, "IT", '523'!$I$3:'523'!$I$121, "A")</f>
        <v>1</v>
      </c>
      <c r="G9" s="22">
        <f>COUNTIFS('523'!$D$3:'523'!$D$121, "2019-2020", '523'!$C$3:'523'!$C$121, "IT", '523'!$I$3:'523'!$I$121, "A")</f>
        <v>1</v>
      </c>
      <c r="H9" s="23"/>
      <c r="I9" s="21" t="s">
        <v>35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P9" s="21" t="s">
        <v>35</v>
      </c>
      <c r="Q9" s="22">
        <f>COUNTIFS('523'!$D$3:'523'!$D$121, "2015-2016", '523'!$C$3:'523'!$C$121, "IT", '523'!$S$3:'523'!$S$121, "C")</f>
        <v>0</v>
      </c>
      <c r="R9" s="22">
        <f>COUNTIFS('523'!$D$3:'523'!$D$121, "2016-2017", '523'!$C$3:'523'!$C$121, "IT", '523'!$S$3:'523'!$S$121, "C")</f>
        <v>0</v>
      </c>
      <c r="S9" s="22">
        <f>COUNTIFS('523'!$D$3:'523'!$D$121, "2017-2018", '523'!$C$3:'523'!$C$121, "IT", '523'!$S$3:'523'!$S$121, "C")</f>
        <v>0</v>
      </c>
      <c r="T9" s="22">
        <f>COUNTIFS('523'!$D$3:'523'!$D$121, "2018-2019", '523'!$C$3:'523'!$C$121, "IT", '523'!$S$3:'523'!$S$121, "C")</f>
        <v>0</v>
      </c>
      <c r="U9" s="22">
        <f>COUNTIFS('523'!$D$3:'523'!$D$121, "2019-2020", '523'!$C$3:'523'!$C$121, "IT", '523'!$S$3:'523'!$S$121, "C")</f>
        <v>0</v>
      </c>
      <c r="W9" s="21" t="s">
        <v>35</v>
      </c>
      <c r="X9" s="22">
        <f>COUNTIFS('523'!$D$3:'523'!$D$121, "2015-2016", '523'!$C$3:'523'!$C$121, "IT", '523'!$U$3:'523'!$U$121, "D")</f>
        <v>0</v>
      </c>
      <c r="Y9" s="22">
        <f>COUNTIFS('523'!$D$3:'523'!$D$121, "2016-2017", '523'!$C$3:'523'!$C$121, "IT",'523'!$U$3:'523'!$U$121, "D")</f>
        <v>0</v>
      </c>
      <c r="Z9" s="22">
        <f>COUNTIFS('523'!$D$3:'523'!$D$121, "2017-2018", '523'!$C$3:'523'!$C$121, "IT", '523'!$U$3:'523'!$U$121, "D")</f>
        <v>0</v>
      </c>
      <c r="AA9" s="22">
        <f>COUNTIFS('523'!$D$3:'523'!$D$121, "2018-2019", '523'!$C$3:'523'!$C$121, "IT", '523'!$U$3:'523'!$U$121, "D")</f>
        <v>0</v>
      </c>
      <c r="AB9" s="22">
        <f>COUNTIFS('523'!$D$3:'523'!$D$121, "2019-2020", '523'!$C$3:'523'!$C$121, "IT", '523'!$U$3:'523'!$U$121, "D")</f>
        <v>0</v>
      </c>
      <c r="AD9" s="47" t="s">
        <v>35</v>
      </c>
      <c r="AE9" s="22">
        <f t="shared" si="1"/>
        <v>1</v>
      </c>
      <c r="AF9" s="22">
        <f t="shared" si="2"/>
        <v>1</v>
      </c>
      <c r="AG9" s="22">
        <f t="shared" si="3"/>
        <v>0</v>
      </c>
      <c r="AH9" s="22">
        <f t="shared" si="4"/>
        <v>1</v>
      </c>
      <c r="AI9" s="22">
        <f t="shared" si="5"/>
        <v>1</v>
      </c>
      <c r="AJ9" s="49"/>
    </row>
    <row r="10" spans="2:36" ht="15.5" x14ac:dyDescent="0.35">
      <c r="B10" s="21" t="s">
        <v>81</v>
      </c>
      <c r="C10" s="22">
        <f>COUNTIFS('523'!$D$3:'523'!$D$121, "2015-2016", '523'!$C$3:'523'!$C$121, "ME", '523'!$I$3:'523'!$I$121, "A")</f>
        <v>0</v>
      </c>
      <c r="D10" s="22">
        <f>COUNTIFS('523'!$D$3:'523'!$D$121, "2016-2017", '523'!$C$3:'523'!$C$121, "ME", '523'!$I$3:'523'!$I$121, "A")</f>
        <v>1</v>
      </c>
      <c r="E10" s="22">
        <f>COUNTIFS('523'!$D$3:'523'!$D$121, "2017-2018", '523'!$C$3:'523'!$C$121, "ME", '523'!$I$3:'523'!$I$121, "A")</f>
        <v>19</v>
      </c>
      <c r="F10" s="22">
        <f>COUNTIFS('523'!$D$3:'523'!$D$121, "2018-2019", '523'!$C$3:'523'!$C$121, "ME", '523'!$I$3:'523'!$I$121, "A")</f>
        <v>7</v>
      </c>
      <c r="G10" s="22">
        <f>COUNTIFS('523'!$D$3:'523'!$D$121, "2019-2020", '523'!$C$3:'523'!$C$121, "ME", '523'!$I$3:'523'!$I$121, "A")</f>
        <v>8</v>
      </c>
      <c r="H10" s="23"/>
      <c r="I10" s="21" t="s">
        <v>81</v>
      </c>
      <c r="J10" s="22">
        <v>0</v>
      </c>
      <c r="K10" s="22">
        <f>COUNTIFS('523'!$D$3:'523'!$D$121, "2016-2017", '523'!$C$3:'523'!$C$121, "ME", '523'!$O$3:'523'!$O$121, "B")</f>
        <v>1</v>
      </c>
      <c r="L10" s="22">
        <f>COUNTIFS('523'!$D$3:'523'!$D$121, "2017-2018", '523'!$C$3:'523'!$C$121, "ME", '523'!$O$3:'523'!$O$121, "B")</f>
        <v>0</v>
      </c>
      <c r="M10" s="22">
        <f>COUNTIFS('523'!$D$3:'523'!$D$121, "2018-2019", '523'!$C$3:'523'!$C$121, "ME", '523'!$O$3:'523'!$O$121, "B")</f>
        <v>0</v>
      </c>
      <c r="N10" s="22">
        <f>COUNTIFS('523'!$D$3:'523'!$D$121, "2019-2020", '523'!$C$3:'523'!$C$121, "ME", '523'!$O$3:'523'!$O$121, "B")</f>
        <v>0</v>
      </c>
      <c r="P10" s="21" t="s">
        <v>81</v>
      </c>
      <c r="Q10" s="22">
        <f>COUNTIFS('523'!$D$3:'523'!$D$121, "2015-2016", '523'!$C$3:'523'!$C$121, "ME", '523'!$S$3:'523'!$S$121, "C")</f>
        <v>0</v>
      </c>
      <c r="R10" s="22">
        <f>COUNTIFS('523'!$D$3:'523'!$D$121, "2016-2017", '523'!$C$3:'523'!$C$121, "ME", '523'!$S$3:'523'!$S$121, "C")</f>
        <v>5</v>
      </c>
      <c r="S10" s="22">
        <f>COUNTIFS('523'!$D$3:'523'!$D$121, "2017-2018", '523'!$C$3:'523'!$C$121, "ME", '523'!$S$3:'523'!$S$121, "C")</f>
        <v>1</v>
      </c>
      <c r="T10" s="22">
        <f>COUNTIFS('523'!$D$3:'523'!$D$121, "2018-2019", '523'!$C$3:'523'!$C$121, "ME",'523'!$S$3:'523'!$S$121, "C")</f>
        <v>0</v>
      </c>
      <c r="U10" s="22">
        <f>COUNTIFS('523'!$D$3:'523'!$D$121, "2019-2020", '523'!$C$3:'523'!$C$121, "ME", '523'!$S$3:'523'!$S$121, "C")</f>
        <v>0</v>
      </c>
      <c r="W10" s="21" t="s">
        <v>81</v>
      </c>
      <c r="X10" s="22">
        <f>COUNTIFS('523'!$D$3:'523'!$D$121, "2015-2016", '523'!$C$3:'523'!$C$121, "ME", '523'!$U$3:'523'!$U$121, "D")</f>
        <v>0</v>
      </c>
      <c r="Y10" s="22">
        <f>COUNTIFS('523'!$D$3:'523'!$D$121, "2016-2017", '523'!$C$3:'523'!$C$121, "ME",'523'!$U$3:'523'!$U$121, "D")</f>
        <v>0</v>
      </c>
      <c r="Z10" s="22">
        <f>COUNTIFS('523'!$D$3:'523'!$D$121, "2017-2018", '523'!$C$3:'523'!$C$121, "ME", '523'!$U$3:'523'!$U$121, "D")</f>
        <v>0</v>
      </c>
      <c r="AA10" s="22">
        <f>COUNTIFS('523'!$D$3:'523'!$D$121, "2018-2019", '523'!$C$3:'523'!$C$121, "ME",'523'!$U$3:'523'!$U$121, "D")</f>
        <v>0</v>
      </c>
      <c r="AB10" s="22">
        <f>COUNTIFS('523'!$D$3:'523'!$D$121, "2019-2020", '523'!$C$3:'523'!$C$121, "ME", '523'!$U$3:'523'!$U$121, "D")</f>
        <v>0</v>
      </c>
      <c r="AD10" s="47" t="s">
        <v>81</v>
      </c>
      <c r="AE10" s="22">
        <f t="shared" si="1"/>
        <v>0</v>
      </c>
      <c r="AF10" s="22">
        <f t="shared" si="2"/>
        <v>7</v>
      </c>
      <c r="AG10" s="22">
        <f t="shared" si="3"/>
        <v>20</v>
      </c>
      <c r="AH10" s="22">
        <f t="shared" si="4"/>
        <v>7</v>
      </c>
      <c r="AI10" s="22">
        <f t="shared" si="5"/>
        <v>8</v>
      </c>
      <c r="AJ10" s="49"/>
    </row>
    <row r="11" spans="2:36" ht="15.5" x14ac:dyDescent="0.35">
      <c r="B11" s="21" t="s">
        <v>95</v>
      </c>
      <c r="C11" s="22">
        <f>COUNTIFS('523'!$D$3:'523'!$D$121, "2015-2016", '523'!$C$3:'523'!$C$121, "PE", '523'!$I$3:'523'!$I$121, "A")</f>
        <v>0</v>
      </c>
      <c r="D11" s="22">
        <f>COUNTIFS('523'!$D$3:'523'!$D$121, "2016-2017", '523'!$C$3:'523'!$C$121, "PE", '523'!$I$3:'523'!$I$121, "A")</f>
        <v>3</v>
      </c>
      <c r="E11" s="22">
        <f>COUNTIFS('523'!$D$3:'523'!$D$121, "2017-2018", '523'!$C$3:'523'!$C$121, "PE", '523'!$I$3:'523'!$I$121, "A")</f>
        <v>4</v>
      </c>
      <c r="F11" s="22">
        <f>COUNTIFS('523'!$D$3:'523'!$D$121, "2018-2019", '523'!$C$3:'523'!$C$121, "PE", '523'!$I$3:'523'!$I$121, "A")</f>
        <v>0</v>
      </c>
      <c r="G11" s="22">
        <f>COUNTIFS('523'!$D$3:'523'!$D$121, "2019-2020", '523'!$C$3:'523'!$C$121, "PE", '523'!$I$3:'523'!$I$121, "A")</f>
        <v>3</v>
      </c>
      <c r="H11" s="23"/>
      <c r="I11" s="21" t="s">
        <v>95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P11" s="21" t="s">
        <v>95</v>
      </c>
      <c r="Q11" s="22">
        <f>COUNTIFS('523'!$D$3:'523'!$D$121, "2015-2016", '523'!$C$3:'523'!$C$121, "PE", '523'!$S$3:'523'!$S$121, "C")</f>
        <v>0</v>
      </c>
      <c r="R11" s="22">
        <f>COUNTIFS('523'!$D$3:'523'!$D$121, "2016-2017", '523'!$C$3:'523'!$C$121, "PE", '523'!$S$3:'523'!$S$121, "C")</f>
        <v>0</v>
      </c>
      <c r="S11" s="22">
        <f>COUNTIFS('523'!$D$3:'523'!$D$121, "2017-2018", '523'!$C$3:'523'!$C$121, "PE", '523'!$S$3:'523'!$S$121, "C")</f>
        <v>0</v>
      </c>
      <c r="T11" s="22">
        <f>COUNTIFS('523'!$D$3:'523'!$D$121, "2018-2019", '523'!$C$3:'523'!$C$121, "PE", '523'!$S$3:'523'!$S$121, "C")</f>
        <v>0</v>
      </c>
      <c r="U11" s="22">
        <f>COUNTIFS('523'!$D$3:'523'!$D$121, "2019-2020", '523'!$C$3:'523'!$C$121, "PE", '523'!$S$3:'523'!$S$121, "C")</f>
        <v>0</v>
      </c>
      <c r="W11" s="21" t="s">
        <v>95</v>
      </c>
      <c r="X11" s="22">
        <f>COUNTIFS('523'!$D$3:'523'!$D$121, "2015-2016", '523'!$C$3:'523'!$C$121, "PE",'523'!$U$3:'523'!$U$121, "D")</f>
        <v>0</v>
      </c>
      <c r="Y11" s="22">
        <f>COUNTIFS('523'!$D$3:'523'!$D$121, "2016-2017", '523'!$C$3:'523'!$C$121, "PE", '523'!$U$3:'523'!$U$121, "D")</f>
        <v>0</v>
      </c>
      <c r="Z11" s="22">
        <f>COUNTIFS('523'!$D$3:'523'!$D$121, "2017-2018", '523'!$C$3:'523'!$C$121, "PE",'523'!$U$3:'523'!$U$121, "D")</f>
        <v>0</v>
      </c>
      <c r="AA11" s="22">
        <f>COUNTIFS('523'!$D$3:'523'!$D$121, "2018-2019", '523'!$C$3:'523'!$C$121, "PE", '523'!$U$3:'523'!$U$121, "D")</f>
        <v>0</v>
      </c>
      <c r="AB11" s="22">
        <f>COUNTIFS('523'!$D$3:'523'!$D$121, "2019-2020", '523'!$C$3:'523'!$C$121, "PE", '523'!$U$3:'523'!$U$121, "D")</f>
        <v>0</v>
      </c>
      <c r="AD11" s="47" t="s">
        <v>95</v>
      </c>
      <c r="AE11" s="22">
        <f t="shared" si="1"/>
        <v>0</v>
      </c>
      <c r="AF11" s="22">
        <f t="shared" si="2"/>
        <v>3</v>
      </c>
      <c r="AG11" s="22">
        <f t="shared" si="3"/>
        <v>4</v>
      </c>
      <c r="AH11" s="22">
        <f t="shared" si="4"/>
        <v>0</v>
      </c>
      <c r="AI11" s="22">
        <f t="shared" si="5"/>
        <v>3</v>
      </c>
      <c r="AJ11" s="49"/>
    </row>
    <row r="12" spans="2:36" ht="15.5" x14ac:dyDescent="0.35">
      <c r="B12" s="21" t="s">
        <v>252</v>
      </c>
      <c r="C12" s="22">
        <f>COUNTIFS('523'!$D$3:'523'!$D$121, "2015-2016", '523'!$C$3:'523'!$C$121, "MBA", '523'!$I$3:'523'!$I$121, "A")</f>
        <v>0</v>
      </c>
      <c r="D12" s="22">
        <f>COUNTIFS('523'!$D$3:'523'!$D$121, "2016-2017", '523'!$C$3:'523'!$C$121, "MBA", '523'!$I$3:'523'!$I$121, "A")</f>
        <v>0</v>
      </c>
      <c r="E12" s="22">
        <f>COUNTIFS('523'!$D$3:'523'!$D$121, "2017-2018", '523'!$C$3:'523'!$C$121, "MBA", '523'!$I$3:'523'!$I$121, "A")</f>
        <v>0</v>
      </c>
      <c r="F12" s="22">
        <f>COUNTIFS('523'!$D$3:'523'!$D$121, "2018-2019", '523'!$C$3:'523'!$C$121, "MBA", '523'!$I$3:'523'!$I$121, "A")</f>
        <v>0</v>
      </c>
      <c r="G12" s="22">
        <f>COUNTIFS('523'!$D$3:'523'!$D$121, "2019-2020", '523'!$C$3:'523'!$C$121, "MBA", '523'!$I$3:'523'!$I$121, "A")</f>
        <v>0</v>
      </c>
      <c r="H12" s="23"/>
      <c r="I12" s="21" t="s">
        <v>252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P12" s="21" t="s">
        <v>252</v>
      </c>
      <c r="Q12" s="22">
        <f>COUNTIFS('523'!$D$3:'523'!$D$121, "2015-2016", '523'!$C$3:'523'!$C$121, "MBA", '523'!$S$3:'523'!$S$121, "C")</f>
        <v>0</v>
      </c>
      <c r="R12" s="22">
        <f>COUNTIFS('523'!$D$3:'523'!$D$121, "2016-2017", '523'!$C$3:'523'!$C$121, "MBA",'523'!$S$3:'523'!$S$121, "C")</f>
        <v>0</v>
      </c>
      <c r="S12" s="22">
        <f>COUNTIFS('523'!$D$3:'523'!$D$121, "2017-2018", '523'!$C$3:'523'!$C$121, "MBA", '523'!$S$3:'523'!$S$121, "C")</f>
        <v>0</v>
      </c>
      <c r="T12" s="22">
        <f>COUNTIFS('523'!$D$3:'523'!$D$121, "2018-2019", '523'!$C$3:'523'!$C$121, "MBA",'523'!$S$3:'523'!$S$121, "C")</f>
        <v>0</v>
      </c>
      <c r="U12" s="22">
        <f>COUNTIFS('523'!$D$3:'523'!$D$121, "2019-2020", '523'!$C$3:'523'!$C$121, "MBA", '523'!$S$3:'523'!$S$121, "C")</f>
        <v>0</v>
      </c>
      <c r="W12" s="21" t="s">
        <v>252</v>
      </c>
      <c r="X12" s="22">
        <f>COUNTIFS('523'!$D$3:'523'!$D$121, "2015-2016", '523'!$C$3:'523'!$C$121, "MBA", '523'!$U$3:'523'!$U$121, "D")</f>
        <v>0</v>
      </c>
      <c r="Y12" s="22">
        <f>COUNTIFS('523'!$D$3:'523'!$D$121, "2016-2017", '523'!$C$3:'523'!$C$121, "MBA",'523'!$U$3:'523'!$U$121, "D")</f>
        <v>0</v>
      </c>
      <c r="Z12" s="22">
        <f>COUNTIFS('523'!$D$3:'523'!$D$121, "2017-2018", '523'!$C$3:'523'!$C$121, "MBA", '523'!$U$3:'523'!$U$121, "D")</f>
        <v>0</v>
      </c>
      <c r="AA12" s="22">
        <f>COUNTIFS('523'!$D$3:'523'!$D$121, "2018-2019", '523'!$C$3:'523'!$C$121, "MBA",'523'!$U$3:'523'!$U$121, "D")</f>
        <v>0</v>
      </c>
      <c r="AB12" s="22">
        <f>COUNTIFS('523'!$D$3:'523'!$D$121, "2019-2020", '523'!$C$3:'523'!$C$121, "MBA", '523'!$U$3:'523'!$U$121, "D")</f>
        <v>0</v>
      </c>
      <c r="AD12" s="47" t="s">
        <v>252</v>
      </c>
      <c r="AE12" s="22">
        <f t="shared" si="1"/>
        <v>0</v>
      </c>
      <c r="AF12" s="22">
        <f t="shared" si="2"/>
        <v>0</v>
      </c>
      <c r="AG12" s="22">
        <f t="shared" si="3"/>
        <v>0</v>
      </c>
      <c r="AH12" s="22">
        <f t="shared" si="4"/>
        <v>0</v>
      </c>
      <c r="AI12" s="22">
        <f t="shared" si="5"/>
        <v>0</v>
      </c>
      <c r="AJ12" s="49"/>
    </row>
    <row r="13" spans="2:36" ht="37.5" customHeight="1" x14ac:dyDescent="0.35">
      <c r="B13" s="24" t="s">
        <v>253</v>
      </c>
      <c r="C13" s="25">
        <f>SUM(C4:C12)</f>
        <v>3</v>
      </c>
      <c r="D13" s="25">
        <f t="shared" ref="D13:G13" si="6">SUM(D4:D12)</f>
        <v>12</v>
      </c>
      <c r="E13" s="25">
        <f t="shared" si="6"/>
        <v>31</v>
      </c>
      <c r="F13" s="25">
        <f t="shared" si="6"/>
        <v>17</v>
      </c>
      <c r="G13" s="25">
        <f t="shared" si="6"/>
        <v>16</v>
      </c>
      <c r="H13" s="23"/>
      <c r="I13" s="24" t="s">
        <v>253</v>
      </c>
      <c r="J13" s="25">
        <f>SUM(J4:J12)</f>
        <v>0</v>
      </c>
      <c r="K13" s="25">
        <f t="shared" ref="K13" si="7">SUM(K4:K12)</f>
        <v>1</v>
      </c>
      <c r="L13" s="25">
        <f t="shared" ref="L13" si="8">SUM(L4:L12)</f>
        <v>0</v>
      </c>
      <c r="M13" s="25">
        <f t="shared" ref="M13" si="9">SUM(M4:M12)</f>
        <v>0</v>
      </c>
      <c r="N13" s="25">
        <f t="shared" ref="N13" si="10">SUM(N4:N12)</f>
        <v>0</v>
      </c>
      <c r="P13" s="24" t="s">
        <v>253</v>
      </c>
      <c r="Q13" s="25">
        <f>SUM(Q4:Q12)</f>
        <v>2</v>
      </c>
      <c r="R13" s="25">
        <f t="shared" ref="R13:U13" si="11">SUM(R4:R12)</f>
        <v>9</v>
      </c>
      <c r="S13" s="25">
        <f t="shared" si="11"/>
        <v>1</v>
      </c>
      <c r="T13" s="25">
        <f t="shared" si="11"/>
        <v>0</v>
      </c>
      <c r="U13" s="25">
        <f t="shared" si="11"/>
        <v>1</v>
      </c>
      <c r="W13" s="24" t="s">
        <v>253</v>
      </c>
      <c r="X13" s="25">
        <f>SUM(X4:X12)</f>
        <v>6</v>
      </c>
      <c r="Y13" s="25">
        <f t="shared" ref="Y13:AB13" si="12">SUM(Y4:Y12)</f>
        <v>17</v>
      </c>
      <c r="Z13" s="25">
        <f t="shared" si="12"/>
        <v>3</v>
      </c>
      <c r="AA13" s="25">
        <f t="shared" si="12"/>
        <v>0</v>
      </c>
      <c r="AB13" s="25">
        <f t="shared" si="12"/>
        <v>0</v>
      </c>
      <c r="AD13" s="27" t="s">
        <v>264</v>
      </c>
      <c r="AE13" s="25">
        <f>SUM(AE4:AE12)</f>
        <v>11</v>
      </c>
      <c r="AF13" s="25">
        <f t="shared" ref="AF13" si="13">SUM(AF4:AF12)</f>
        <v>39</v>
      </c>
      <c r="AG13" s="25">
        <f t="shared" ref="AG13" si="14">SUM(AG4:AG12)</f>
        <v>35</v>
      </c>
      <c r="AH13" s="25">
        <f t="shared" ref="AH13" si="15">SUM(AH4:AH12)</f>
        <v>17</v>
      </c>
      <c r="AI13" s="25">
        <f t="shared" ref="AI13" si="16">SUM(AI4:AI12)</f>
        <v>17</v>
      </c>
      <c r="AJ13" s="49"/>
    </row>
    <row r="14" spans="2:36" s="33" customFormat="1" ht="28.5" customHeight="1" x14ac:dyDescent="0.35">
      <c r="B14" s="30"/>
      <c r="C14" s="31"/>
      <c r="D14" s="31"/>
      <c r="E14" s="31"/>
      <c r="F14" s="31"/>
      <c r="G14" s="31"/>
      <c r="H14" s="32"/>
      <c r="I14" s="30"/>
      <c r="J14" s="31"/>
      <c r="K14" s="31"/>
      <c r="L14" s="31"/>
      <c r="M14" s="31"/>
      <c r="N14" s="31"/>
      <c r="P14" s="30"/>
      <c r="Q14" s="31"/>
      <c r="R14" s="31"/>
      <c r="S14" s="31"/>
      <c r="T14" s="31"/>
      <c r="U14" s="31"/>
      <c r="W14" s="30"/>
      <c r="X14" s="31"/>
      <c r="Y14" s="31"/>
      <c r="Z14" s="31"/>
      <c r="AA14" s="31"/>
      <c r="AB14" s="31"/>
      <c r="AD14" s="28" t="s">
        <v>262</v>
      </c>
      <c r="AE14" s="29">
        <v>32</v>
      </c>
      <c r="AF14" s="29">
        <v>83</v>
      </c>
      <c r="AG14" s="29">
        <v>70</v>
      </c>
      <c r="AH14" s="29">
        <v>32</v>
      </c>
      <c r="AI14" s="29">
        <v>34</v>
      </c>
      <c r="AJ14" s="50"/>
    </row>
    <row r="15" spans="2:36" s="33" customFormat="1" ht="23.25" customHeight="1" x14ac:dyDescent="0.35">
      <c r="B15" s="30"/>
      <c r="C15" s="31"/>
      <c r="D15" s="31"/>
      <c r="E15" s="31"/>
      <c r="F15" s="31"/>
      <c r="G15" s="31"/>
      <c r="H15" s="32"/>
      <c r="I15" s="30"/>
      <c r="J15" s="31"/>
      <c r="K15" s="31"/>
      <c r="L15" s="31"/>
      <c r="M15" s="31"/>
      <c r="N15" s="31"/>
      <c r="P15" s="30"/>
      <c r="Q15" s="31"/>
      <c r="R15" s="31"/>
      <c r="S15" s="31"/>
      <c r="T15" s="31"/>
      <c r="U15" s="31"/>
      <c r="W15" s="30"/>
      <c r="X15" s="31"/>
      <c r="Y15" s="31"/>
      <c r="Z15" s="31"/>
      <c r="AA15" s="31"/>
      <c r="AB15" s="31"/>
      <c r="AD15" s="51" t="s">
        <v>263</v>
      </c>
      <c r="AE15" s="52">
        <f>AE13*100/AE14</f>
        <v>34.375</v>
      </c>
      <c r="AF15" s="52">
        <f t="shared" ref="AF15:AI15" si="17">AF13*100/AF14</f>
        <v>46.987951807228917</v>
      </c>
      <c r="AG15" s="52">
        <f t="shared" si="17"/>
        <v>50</v>
      </c>
      <c r="AH15" s="52">
        <f t="shared" si="17"/>
        <v>53.125</v>
      </c>
      <c r="AI15" s="52">
        <f t="shared" si="17"/>
        <v>50</v>
      </c>
      <c r="AJ15" s="43">
        <f>AVERAGE(AE15:AI15)</f>
        <v>46.897590361445779</v>
      </c>
    </row>
    <row r="16" spans="2:36" ht="15.5" x14ac:dyDescent="0.35">
      <c r="G16">
        <f>SUM(C13:G13)</f>
        <v>79</v>
      </c>
      <c r="N16">
        <f>SUM(J13:N13)</f>
        <v>1</v>
      </c>
      <c r="U16">
        <f>SUM(Q13:U13)</f>
        <v>13</v>
      </c>
      <c r="AB16">
        <f>SUM(X13:AB13)</f>
        <v>26</v>
      </c>
      <c r="AH16" s="26">
        <f>G16+N16+U16+AB16</f>
        <v>119</v>
      </c>
      <c r="AI16">
        <f>SUM(AE13:AI13)</f>
        <v>119</v>
      </c>
    </row>
    <row r="26" spans="34:34" x14ac:dyDescent="0.35">
      <c r="AH26" t="s">
        <v>260</v>
      </c>
    </row>
  </sheetData>
  <mergeCells count="6">
    <mergeCell ref="AJ3:AJ14"/>
    <mergeCell ref="B2:G2"/>
    <mergeCell ref="I2:N2"/>
    <mergeCell ref="P2:U2"/>
    <mergeCell ref="W2:AB2"/>
    <mergeCell ref="AD2:AJ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523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2020-12-31T09:53:19Z</dcterms:created>
  <dcterms:modified xsi:type="dcterms:W3CDTF">2021-04-08T06:28:38Z</dcterms:modified>
</cp:coreProperties>
</file>