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0" windowWidth="19420" windowHeight="7740" activeTab="2"/>
  </bookViews>
  <sheets>
    <sheet name="511&amp;512" sheetId="1" r:id="rId1"/>
    <sheet name="511 summary" sheetId="2" r:id="rId2"/>
    <sheet name="512 summary" sheetId="4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G16" i="4" l="1"/>
  <c r="F16" i="4"/>
  <c r="E16" i="4"/>
  <c r="D16" i="4"/>
  <c r="C16" i="4"/>
  <c r="F15" i="4"/>
  <c r="G15" i="4"/>
  <c r="E15" i="4"/>
  <c r="D15" i="4"/>
  <c r="G14" i="4"/>
  <c r="F14" i="4"/>
  <c r="E14" i="4"/>
  <c r="D14" i="4"/>
  <c r="C15" i="4"/>
  <c r="C14" i="4"/>
  <c r="G6" i="4"/>
  <c r="F6" i="4"/>
  <c r="E6" i="4"/>
  <c r="D6" i="4"/>
  <c r="C6" i="4"/>
  <c r="G5" i="4"/>
  <c r="F5" i="4"/>
  <c r="E5" i="4"/>
  <c r="D5" i="4"/>
  <c r="G4" i="4"/>
  <c r="F4" i="4"/>
  <c r="E4" i="4"/>
  <c r="D4" i="4"/>
  <c r="C5" i="4"/>
  <c r="C4" i="4"/>
  <c r="G10" i="2"/>
  <c r="F10" i="2"/>
  <c r="E10" i="2"/>
  <c r="D10" i="2"/>
  <c r="C10" i="2"/>
  <c r="G4" i="2"/>
  <c r="F4" i="2"/>
  <c r="E4" i="2"/>
  <c r="D4" i="2"/>
  <c r="C4" i="2"/>
  <c r="D7" i="4" l="1"/>
  <c r="E7" i="4"/>
  <c r="F7" i="4"/>
  <c r="G7" i="4"/>
  <c r="C7" i="4"/>
  <c r="G8" i="4" l="1"/>
  <c r="F8" i="4"/>
  <c r="E8" i="4"/>
  <c r="D8" i="4"/>
  <c r="C8" i="4"/>
  <c r="G23" i="4"/>
  <c r="F23" i="4"/>
  <c r="E23" i="4"/>
  <c r="D23" i="4"/>
  <c r="C23" i="4"/>
  <c r="G22" i="4"/>
  <c r="F22" i="4"/>
  <c r="E22" i="4"/>
  <c r="D22" i="4"/>
  <c r="C21" i="4"/>
  <c r="C22" i="4"/>
  <c r="F21" i="4"/>
  <c r="E21" i="4"/>
  <c r="D21" i="4"/>
  <c r="G21" i="4"/>
  <c r="G6" i="2"/>
  <c r="F6" i="2"/>
  <c r="E6" i="2"/>
  <c r="D6" i="2"/>
  <c r="C6" i="2"/>
  <c r="H8" i="4" l="1"/>
  <c r="H6" i="2"/>
</calcChain>
</file>

<file path=xl/sharedStrings.xml><?xml version="1.0" encoding="utf-8"?>
<sst xmlns="http://schemas.openxmlformats.org/spreadsheetml/2006/main" count="240" uniqueCount="52">
  <si>
    <t>5.1.1 Average  percentage of students benefited by scholarships and freeships provided by the Government during the last five years  (20)</t>
  </si>
  <si>
    <t>5.1.2 Average  percentage  of students benefited by scholarships, freeships, etc. provided by the institution besides government schemes during the last five years   (05)</t>
  </si>
  <si>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</si>
  <si>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</si>
  <si>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</si>
  <si>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</si>
  <si>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</si>
  <si>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</si>
  <si>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</t>
  </si>
  <si>
    <t>2015-2016</t>
  </si>
  <si>
    <t>Government of India Post-Matric Scholarship  (SC)</t>
  </si>
  <si>
    <t>NA</t>
  </si>
  <si>
    <t>Post Matric Scholarship Scheme (Government Of India )ST</t>
  </si>
  <si>
    <t>Post Matric Scholarship to OBC Students</t>
  </si>
  <si>
    <t>Post Matric Scholarship to NT Students</t>
  </si>
  <si>
    <t>Post Matric Scholarship to SBC Students</t>
  </si>
  <si>
    <t>Rajarshi Chhatrapati Shahu Maharaj Shikshan Shulkh Shishyavrutti Yojna(EBC)</t>
  </si>
  <si>
    <t>2016-2017</t>
  </si>
  <si>
    <t>SMBT(Amrut) Meritorious Scholarship</t>
  </si>
  <si>
    <t>2017-2018</t>
  </si>
  <si>
    <t>2018-2019</t>
  </si>
  <si>
    <t>Cummins Scholarship</t>
  </si>
  <si>
    <t>2019-2020</t>
  </si>
  <si>
    <t>16-17</t>
  </si>
  <si>
    <t>17-18</t>
  </si>
  <si>
    <t>18-19</t>
  </si>
  <si>
    <t>19-20</t>
  </si>
  <si>
    <t>Total No. of student</t>
  </si>
  <si>
    <t>15-16</t>
  </si>
  <si>
    <t>Govt.</t>
  </si>
  <si>
    <t>AMS</t>
  </si>
  <si>
    <t>Cummins</t>
  </si>
  <si>
    <t>TOTAL</t>
  </si>
  <si>
    <t xml:space="preserve">Percentage per year </t>
  </si>
  <si>
    <t>Av. For last 5 year</t>
  </si>
  <si>
    <t xml:space="preserve"> </t>
  </si>
  <si>
    <t>Students benefited in lacks of Rs.</t>
  </si>
  <si>
    <t>No. of Students benefited</t>
  </si>
  <si>
    <t>Total Students benefited</t>
  </si>
  <si>
    <t>34</t>
  </si>
  <si>
    <t>156000</t>
  </si>
  <si>
    <t xml:space="preserve">% of Students benefited </t>
  </si>
  <si>
    <t>Government of India  Scholarship  (SC)</t>
  </si>
  <si>
    <t>Scholarship Scheme (Government Of India )ST</t>
  </si>
  <si>
    <t>Scholarship to OBC Students</t>
  </si>
  <si>
    <t>Scholarship to NT Students</t>
  </si>
  <si>
    <t>Scholarship to SBC Students</t>
  </si>
  <si>
    <t>Scholarship Scheme (ST)</t>
  </si>
  <si>
    <t xml:space="preserve">Average percentage of students benefited by scholarships and freeships provided by the Government during last five years </t>
  </si>
  <si>
    <t>Average percentage of students benefitted by scholarships, freeships etc. provided by the institution / non- government agencies during the last five years</t>
  </si>
  <si>
    <t>Students benefitted by scholarships ( in Lacks of Rs.) provided by the institution / non- government agencies during the last five years</t>
  </si>
  <si>
    <t xml:space="preserve">Students benefited by scholarships (in lacks of Rs.) provided by the Government during last five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</si>
</sst>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i/>
      <sz val="12"/>
      <color rgb="FF000000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b/>
      <i/>
      <sz val="12"/>
      <color theme="1"/>
      <name val="Times New Roman"/>
      <family val="1"/>
    </font>
    <font>
      <sz val="12"/>
      <name val="Book Antiqua"/>
      <family val="1"/>
    </font>
    <font>
      <b/>
      <i/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/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0" borderId="0" xfId="0" applyFill="1" applyBorder="1"/>
    <xf numFmtId="0" fontId="7" fillId="0" borderId="1" xfId="1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top"/>
    </xf>
    <xf numFmtId="0" fontId="8" fillId="5" borderId="1" xfId="1" applyFont="1" applyFill="1" applyBorder="1" applyAlignment="1">
      <alignment horizontal="center" vertical="center" wrapText="1"/>
    </xf>
    <xf numFmtId="2" fontId="12" fillId="5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'511 summary'!$B$10</c:f>
              <c:strCache>
                <c:ptCount val="1"/>
                <c:pt idx="0">
                  <c:v>Students benefited in lacks of Rs.</c:v>
                </c:pt>
              </c:strCache>
            </c:strRef>
          </c:tx>
          <c:invertIfNegative val="0"/>
          <c:cat>
            <c:strRef>
              <c:f>'511 summary'!$C$9:$G$9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'511 summary'!$C$10:$G$10</c:f>
              <c:numCache>
                <c:formatCode>0.000</c:formatCode>
                <c:ptCount val="5"/>
                <c:pt idx="0">
                  <c:v>1506.9631549999999</c:v>
                </c:pt>
                <c:pt idx="1">
                  <c:v>1396.4315200000001</c:v>
                </c:pt>
                <c:pt idx="2">
                  <c:v>1456.7622200000001</c:v>
                </c:pt>
                <c:pt idx="3">
                  <c:v>1291.4923349999999</c:v>
                </c:pt>
                <c:pt idx="4">
                  <c:v>1457.1601499999999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964352"/>
        <c:axId val="48966272"/>
      </c:barChart>
      <c:catAx>
        <c:axId val="4896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48966272"/>
        <c:crosses val="autoZero"/>
        <c:auto val="1"/>
        <c:lblAlgn val="ctr"/>
        <c:lblOffset val="100"/>
        <c:noMultiLvlLbl val="0"/>
      </c:catAx>
      <c:valAx>
        <c:axId val="4896627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48964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483334160187672"/>
          <c:y val="2.5157220246015823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'511 summary'!$B$4</c:f>
              <c:strCache>
                <c:ptCount val="1"/>
                <c:pt idx="0">
                  <c:v>No. of Students benefited</c:v>
                </c:pt>
              </c:strCache>
            </c:strRef>
          </c:tx>
          <c:invertIfNegative val="0"/>
          <c:cat>
            <c:strRef>
              <c:f>'511 summary'!$C$3:$G$3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'511 summary'!$C$4:$G$4</c:f>
              <c:numCache>
                <c:formatCode>General</c:formatCode>
                <c:ptCount val="5"/>
                <c:pt idx="0">
                  <c:v>2836</c:v>
                </c:pt>
                <c:pt idx="1">
                  <c:v>2721</c:v>
                </c:pt>
                <c:pt idx="2">
                  <c:v>2749</c:v>
                </c:pt>
                <c:pt idx="3">
                  <c:v>2904</c:v>
                </c:pt>
                <c:pt idx="4">
                  <c:v>2749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377728"/>
        <c:axId val="142379264"/>
      </c:barChart>
      <c:catAx>
        <c:axId val="14237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2379264"/>
        <c:crosses val="autoZero"/>
        <c:auto val="1"/>
        <c:lblAlgn val="ctr"/>
        <c:lblOffset val="100"/>
        <c:noMultiLvlLbl val="0"/>
      </c:catAx>
      <c:valAx>
        <c:axId val="142379264"/>
        <c:scaling>
          <c:orientation val="minMax"/>
          <c:max val="3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3777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IN"/>
              <a:t>Avg. % of Students benefited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'511 summary'!$B$6</c:f>
              <c:strCache>
                <c:ptCount val="1"/>
                <c:pt idx="0">
                  <c:v>% of Students benefited 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82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79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'511 summary'!$C$3:$H$3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Av. For last 5 year</c:v>
                </c:pt>
              </c:strCache>
            </c:strRef>
          </c:cat>
          <c:val>
            <c:numRef>
              <c:f>'511 summary'!$C$6:$H$6</c:f>
              <c:numCache>
                <c:formatCode>0.00</c:formatCode>
                <c:ptCount val="6"/>
                <c:pt idx="0">
                  <c:v>75.105932203389827</c:v>
                </c:pt>
                <c:pt idx="1">
                  <c:v>77.898654451760663</c:v>
                </c:pt>
                <c:pt idx="2">
                  <c:v>79.542824074074076</c:v>
                </c:pt>
                <c:pt idx="3">
                  <c:v>84.100781928757598</c:v>
                </c:pt>
                <c:pt idx="4">
                  <c:v>85.852592129918804</c:v>
                </c:pt>
                <c:pt idx="5">
                  <c:v>80.500156957580202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400128"/>
        <c:axId val="142759040"/>
      </c:barChart>
      <c:catAx>
        <c:axId val="14240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2759040"/>
        <c:crosses val="autoZero"/>
        <c:auto val="1"/>
        <c:lblAlgn val="ctr"/>
        <c:lblOffset val="100"/>
        <c:noMultiLvlLbl val="0"/>
      </c:catAx>
      <c:valAx>
        <c:axId val="1427590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2400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en-US" sz="1200" b="1" i="0" u="none" strike="noStrike" baseline="0">
                <a:effectLst/>
              </a:rPr>
              <a:t>Students benefitted by the institution / non- government </a:t>
            </a:r>
            <a:endParaRPr lang="en-US" sz="1200" i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'512 summary'!$B$4</c:f>
              <c:strCache>
                <c:ptCount val="1"/>
                <c:pt idx="0">
                  <c:v>Cummins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'512 summary'!$C$3:$G$3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'512 summary'!$C$4:$G$4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'512 summary'!$B$5</c:f>
              <c:strCache>
                <c:ptCount val="1"/>
                <c:pt idx="0">
                  <c:v>AMS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'512 summary'!$C$3:$G$3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'512 summary'!$C$5:$G$5</c:f>
              <c:numCache>
                <c:formatCode>General</c:formatCode>
                <c:ptCount val="5"/>
                <c:pt idx="0">
                  <c:v>0</c:v>
                </c:pt>
                <c:pt idx="1">
                  <c:v>34</c:v>
                </c:pt>
                <c:pt idx="2">
                  <c:v>52</c:v>
                </c:pt>
                <c:pt idx="3">
                  <c:v>20</c:v>
                </c:pt>
                <c:pt idx="4">
                  <c:v>108</c:v>
                </c:pt>
              </c:numCache>
            </c:numRef>
          </c:val>
        </c:ser>
        <c:ser>
          <c:idx val="2"/>
          <c:order val="2"/>
          <c:tx>
            <c:strRef>
              <c:f>'512 summary'!$B$6</c:f>
              <c:strCache>
                <c:ptCount val="1"/>
                <c:pt idx="0">
                  <c:v>Total Students benefited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'512 summary'!$C$3:$G$3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'512 summary'!$C$6:$G$6</c:f>
              <c:numCache>
                <c:formatCode>General</c:formatCode>
                <c:ptCount val="5"/>
                <c:pt idx="0">
                  <c:v>0</c:v>
                </c:pt>
                <c:pt idx="1">
                  <c:v>34</c:v>
                </c:pt>
                <c:pt idx="2">
                  <c:v>52</c:v>
                </c:pt>
                <c:pt idx="3">
                  <c:v>21</c:v>
                </c:pt>
                <c:pt idx="4">
                  <c:v>111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8963712"/>
        <c:axId val="148966400"/>
      </c:barChart>
      <c:catAx>
        <c:axId val="14896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48966400"/>
        <c:crosses val="autoZero"/>
        <c:auto val="1"/>
        <c:lblAlgn val="ctr"/>
        <c:lblOffset val="100"/>
        <c:noMultiLvlLbl val="0"/>
      </c:catAx>
      <c:valAx>
        <c:axId val="14896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963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sz="1200" b="1" i="0" u="none" strike="noStrike" baseline="0">
                <a:effectLst/>
              </a:rPr>
              <a:t>Institution / non- government scholarships in Lacks of Rs.</a:t>
            </a:r>
            <a:endParaRPr lang="en-US" i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'512 summary'!$B$21</c:f>
              <c:strCache>
                <c:ptCount val="1"/>
                <c:pt idx="0">
                  <c:v>Cummins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'512 summary'!$C$20:$G$20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'512 summary'!$C$21:$G$21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0.58943999999999996</c:v>
                </c:pt>
              </c:numCache>
            </c:numRef>
          </c:val>
        </c:ser>
        <c:ser>
          <c:idx val="1"/>
          <c:order val="1"/>
          <c:tx>
            <c:strRef>
              <c:f>'512 summary'!$B$22</c:f>
              <c:strCache>
                <c:ptCount val="1"/>
                <c:pt idx="0">
                  <c:v>AMS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'512 summary'!$C$20:$G$20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'512 summary'!$C$22:$G$22</c:f>
              <c:numCache>
                <c:formatCode>0.00</c:formatCode>
                <c:ptCount val="5"/>
                <c:pt idx="0">
                  <c:v>0</c:v>
                </c:pt>
                <c:pt idx="1">
                  <c:v>1.56</c:v>
                </c:pt>
                <c:pt idx="2">
                  <c:v>3.12</c:v>
                </c:pt>
                <c:pt idx="3">
                  <c:v>1.33</c:v>
                </c:pt>
                <c:pt idx="4">
                  <c:v>6.48</c:v>
                </c:pt>
              </c:numCache>
            </c:numRef>
          </c:val>
        </c:ser>
        <c:ser>
          <c:idx val="2"/>
          <c:order val="2"/>
          <c:tx>
            <c:strRef>
              <c:f>'512 summary'!$B$23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'512 summary'!$C$20:$G$20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'512 summary'!$C$23:$G$23</c:f>
              <c:numCache>
                <c:formatCode>0.00</c:formatCode>
                <c:ptCount val="5"/>
                <c:pt idx="0">
                  <c:v>0</c:v>
                </c:pt>
                <c:pt idx="1">
                  <c:v>1.56</c:v>
                </c:pt>
                <c:pt idx="2">
                  <c:v>3.12</c:v>
                </c:pt>
                <c:pt idx="3">
                  <c:v>2.33</c:v>
                </c:pt>
                <c:pt idx="4">
                  <c:v>7.0694400000000002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0037504"/>
        <c:axId val="180039040"/>
      </c:barChart>
      <c:catAx>
        <c:axId val="180037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0039040"/>
        <c:crosses val="autoZero"/>
        <c:auto val="1"/>
        <c:lblAlgn val="ctr"/>
        <c:lblOffset val="100"/>
        <c:noMultiLvlLbl val="0"/>
      </c:catAx>
      <c:valAx>
        <c:axId val="1800390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0037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% Students benefitted by the institution / non- government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'512 summary'!$B$8</c:f>
              <c:strCache>
                <c:ptCount val="1"/>
                <c:pt idx="0">
                  <c:v>Percentage per year 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28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'512 summary'!$C$3:$H$3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Av. For last 5 year</c:v>
                </c:pt>
              </c:strCache>
            </c:strRef>
          </c:cat>
          <c:val>
            <c:numRef>
              <c:f>'512 summary'!$C$8:$H$8</c:f>
              <c:numCache>
                <c:formatCode>0.00</c:formatCode>
                <c:ptCount val="6"/>
                <c:pt idx="0">
                  <c:v>0</c:v>
                </c:pt>
                <c:pt idx="1">
                  <c:v>0.97337532207271682</c:v>
                </c:pt>
                <c:pt idx="2">
                  <c:v>1.5046296296296295</c:v>
                </c:pt>
                <c:pt idx="3">
                  <c:v>0.60816681146828844</c:v>
                </c:pt>
                <c:pt idx="4">
                  <c:v>3.4665833853841348</c:v>
                </c:pt>
                <c:pt idx="5">
                  <c:v>1.3105510297109539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9901696"/>
        <c:axId val="279903616"/>
      </c:barChart>
      <c:catAx>
        <c:axId val="279901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79903616"/>
        <c:crosses val="autoZero"/>
        <c:auto val="1"/>
        <c:lblAlgn val="ctr"/>
        <c:lblOffset val="100"/>
        <c:noMultiLvlLbl val="0"/>
      </c:catAx>
      <c:valAx>
        <c:axId val="2799036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99016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11</xdr:row>
      <xdr:rowOff>133350</xdr:rowOff>
    </xdr:from>
    <xdr:to>
      <xdr:col>15</xdr:col>
      <xdr:colOff>533400</xdr:colOff>
      <xdr:row>23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184149</xdr:rowOff>
    </xdr:from>
    <xdr:to>
      <xdr:col>14</xdr:col>
      <xdr:colOff>69850</xdr:colOff>
      <xdr:row>7</xdr:row>
      <xdr:rowOff>196850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342900</xdr:colOff>
      <xdr:row>1</xdr:row>
      <xdr:rowOff>28574</xdr:rowOff>
    </xdr:from>
    <xdr:to>
      <xdr:col>20</xdr:col>
      <xdr:colOff>241300</xdr:colOff>
      <xdr:row>7</xdr:row>
      <xdr:rowOff>361949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</xdr:row>
      <xdr:rowOff>128586</xdr:rowOff>
    </xdr:from>
    <xdr:to>
      <xdr:col>15</xdr:col>
      <xdr:colOff>19051</xdr:colOff>
      <xdr:row>8</xdr:row>
      <xdr:rowOff>161924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10</xdr:row>
      <xdr:rowOff>66675</xdr:rowOff>
    </xdr:from>
    <xdr:to>
      <xdr:col>16</xdr:col>
      <xdr:colOff>561975</xdr:colOff>
      <xdr:row>21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209550</xdr:colOff>
      <xdr:row>1</xdr:row>
      <xdr:rowOff>123825</xdr:rowOff>
    </xdr:from>
    <xdr:to>
      <xdr:col>21</xdr:col>
      <xdr:colOff>361950</xdr:colOff>
      <xdr:row>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5" workbookViewId="0">
      <selection activeCell="E6" sqref="E6"/>
    </sheetView>
  </sheetViews>
  <sheetFormatPr defaultRowHeight="14.5" x14ac:dyDescent="0.35"/>
  <cols>
    <col min="1" max="1" width="9.1796875" style="37"/>
    <col min="2" max="2" width="10.81640625" bestFit="1" customWidth="1"/>
    <col min="3" max="3" width="56.7265625" bestFit="1" customWidth="1"/>
    <col min="5" max="5" width="13.1796875" bestFit="1" customWidth="1"/>
    <col min="7" max="7" width="10.7265625" bestFit="1" customWidth="1"/>
    <col min="8" max="8" width="18.54296875" customWidth="1"/>
  </cols>
  <sheetData>
    <row r="1" spans="1:11" ht="15.5" x14ac:dyDescent="0.35">
      <c r="B1" s="48" t="s">
        <v>0</v>
      </c>
      <c r="C1" s="48"/>
      <c r="D1" s="48"/>
      <c r="E1" s="48"/>
      <c r="F1" s="48"/>
      <c r="G1" s="48"/>
      <c r="H1" s="48"/>
    </row>
    <row r="2" spans="1:11" ht="15.5" x14ac:dyDescent="0.35">
      <c r="B2" s="48" t="s">
        <v>1</v>
      </c>
      <c r="C2" s="48"/>
      <c r="D2" s="48"/>
      <c r="E2" s="48"/>
      <c r="F2" s="48"/>
      <c r="G2" s="48"/>
      <c r="H2" s="48"/>
    </row>
    <row r="4" spans="1:11" ht="15.75" customHeight="1" x14ac:dyDescent="0.35">
      <c r="B4" s="49" t="s">
        <v>2</v>
      </c>
      <c r="C4" s="49" t="s">
        <v>3</v>
      </c>
      <c r="D4" s="50" t="s">
        <v>4</v>
      </c>
      <c r="E4" s="51"/>
      <c r="F4" s="50" t="s">
        <v>5</v>
      </c>
      <c r="G4" s="51"/>
      <c r="H4" s="1" t="s">
        <v>6</v>
      </c>
      <c r="K4" t="s">
        <v>0</v>
      </c>
    </row>
    <row r="5" spans="1:11" ht="45.5" x14ac:dyDescent="0.35">
      <c r="B5" s="49"/>
      <c r="C5" s="49"/>
      <c r="D5" s="2" t="s">
        <v>7</v>
      </c>
      <c r="E5" s="3" t="s">
        <v>8</v>
      </c>
      <c r="F5" s="2" t="s">
        <v>7</v>
      </c>
      <c r="G5" s="3" t="s">
        <v>8</v>
      </c>
      <c r="H5" s="4"/>
    </row>
    <row r="6" spans="1:11" ht="31.5" customHeight="1" x14ac:dyDescent="0.35">
      <c r="A6" s="37" t="s">
        <v>29</v>
      </c>
      <c r="B6" s="26" t="s">
        <v>9</v>
      </c>
      <c r="C6" s="27" t="s">
        <v>42</v>
      </c>
      <c r="D6" s="27">
        <v>307</v>
      </c>
      <c r="E6" s="27">
        <v>26786449</v>
      </c>
      <c r="F6" s="28" t="s">
        <v>11</v>
      </c>
      <c r="G6" s="28" t="s">
        <v>11</v>
      </c>
      <c r="H6" s="27"/>
    </row>
    <row r="7" spans="1:11" ht="31.5" customHeight="1" x14ac:dyDescent="0.35">
      <c r="A7" s="37" t="s">
        <v>29</v>
      </c>
      <c r="B7" s="26" t="s">
        <v>9</v>
      </c>
      <c r="C7" s="27" t="s">
        <v>43</v>
      </c>
      <c r="D7" s="27">
        <v>95</v>
      </c>
      <c r="E7" s="27">
        <v>7820142.5</v>
      </c>
      <c r="F7" s="28" t="s">
        <v>11</v>
      </c>
      <c r="G7" s="28" t="s">
        <v>11</v>
      </c>
      <c r="H7" s="27"/>
    </row>
    <row r="8" spans="1:11" ht="31.5" customHeight="1" x14ac:dyDescent="0.35">
      <c r="A8" s="37" t="s">
        <v>29</v>
      </c>
      <c r="B8" s="26" t="s">
        <v>9</v>
      </c>
      <c r="C8" s="27" t="s">
        <v>44</v>
      </c>
      <c r="D8" s="27">
        <v>1266</v>
      </c>
      <c r="E8" s="27">
        <v>51197733</v>
      </c>
      <c r="F8" s="28" t="s">
        <v>11</v>
      </c>
      <c r="G8" s="28" t="s">
        <v>11</v>
      </c>
      <c r="H8" s="27"/>
    </row>
    <row r="9" spans="1:11" ht="31.5" customHeight="1" x14ac:dyDescent="0.35">
      <c r="A9" s="37" t="s">
        <v>29</v>
      </c>
      <c r="B9" s="26" t="s">
        <v>9</v>
      </c>
      <c r="C9" s="27" t="s">
        <v>45</v>
      </c>
      <c r="D9" s="27">
        <v>465</v>
      </c>
      <c r="E9" s="27">
        <v>36381863</v>
      </c>
      <c r="F9" s="28" t="s">
        <v>11</v>
      </c>
      <c r="G9" s="28" t="s">
        <v>11</v>
      </c>
      <c r="H9" s="27"/>
    </row>
    <row r="10" spans="1:11" ht="31.5" customHeight="1" x14ac:dyDescent="0.35">
      <c r="A10" s="37" t="s">
        <v>29</v>
      </c>
      <c r="B10" s="26" t="s">
        <v>9</v>
      </c>
      <c r="C10" s="27" t="s">
        <v>46</v>
      </c>
      <c r="D10" s="27">
        <v>60</v>
      </c>
      <c r="E10" s="27">
        <v>4601725</v>
      </c>
      <c r="F10" s="28" t="s">
        <v>11</v>
      </c>
      <c r="G10" s="28" t="s">
        <v>11</v>
      </c>
      <c r="H10" s="27"/>
    </row>
    <row r="11" spans="1:11" ht="31.5" customHeight="1" x14ac:dyDescent="0.35">
      <c r="A11" s="37" t="s">
        <v>29</v>
      </c>
      <c r="B11" s="26" t="s">
        <v>9</v>
      </c>
      <c r="C11" s="29" t="s">
        <v>16</v>
      </c>
      <c r="D11" s="27">
        <v>643</v>
      </c>
      <c r="E11" s="27">
        <v>23908403</v>
      </c>
      <c r="F11" s="28" t="s">
        <v>11</v>
      </c>
      <c r="G11" s="28" t="s">
        <v>11</v>
      </c>
      <c r="H11" s="27"/>
    </row>
    <row r="12" spans="1:11" ht="31.5" customHeight="1" x14ac:dyDescent="0.35">
      <c r="A12" s="37" t="s">
        <v>29</v>
      </c>
      <c r="B12" s="30" t="s">
        <v>17</v>
      </c>
      <c r="C12" s="31" t="s">
        <v>42</v>
      </c>
      <c r="D12" s="32">
        <v>264</v>
      </c>
      <c r="E12" s="32">
        <v>22892985</v>
      </c>
      <c r="F12" s="33" t="s">
        <v>11</v>
      </c>
      <c r="G12" s="33" t="s">
        <v>11</v>
      </c>
      <c r="H12" s="32"/>
    </row>
    <row r="13" spans="1:11" ht="31.5" customHeight="1" x14ac:dyDescent="0.35">
      <c r="A13" s="37" t="s">
        <v>29</v>
      </c>
      <c r="B13" s="30" t="s">
        <v>17</v>
      </c>
      <c r="C13" s="32" t="s">
        <v>44</v>
      </c>
      <c r="D13" s="32">
        <v>1327</v>
      </c>
      <c r="E13" s="32">
        <v>50630448</v>
      </c>
      <c r="F13" s="33" t="s">
        <v>11</v>
      </c>
      <c r="G13" s="33" t="s">
        <v>11</v>
      </c>
      <c r="H13" s="32"/>
    </row>
    <row r="14" spans="1:11" ht="31.5" customHeight="1" x14ac:dyDescent="0.35">
      <c r="A14" s="37" t="s">
        <v>29</v>
      </c>
      <c r="B14" s="30" t="s">
        <v>17</v>
      </c>
      <c r="C14" s="32" t="s">
        <v>45</v>
      </c>
      <c r="D14" s="32">
        <v>500</v>
      </c>
      <c r="E14" s="32">
        <v>39414097</v>
      </c>
      <c r="F14" s="33" t="s">
        <v>11</v>
      </c>
      <c r="G14" s="33" t="s">
        <v>11</v>
      </c>
      <c r="H14" s="32"/>
    </row>
    <row r="15" spans="1:11" ht="31.5" customHeight="1" x14ac:dyDescent="0.35">
      <c r="A15" s="37" t="s">
        <v>29</v>
      </c>
      <c r="B15" s="30" t="s">
        <v>17</v>
      </c>
      <c r="C15" s="32" t="s">
        <v>46</v>
      </c>
      <c r="D15" s="32">
        <v>60</v>
      </c>
      <c r="E15" s="32">
        <v>4757877</v>
      </c>
      <c r="F15" s="33" t="s">
        <v>11</v>
      </c>
      <c r="G15" s="33" t="s">
        <v>11</v>
      </c>
      <c r="H15" s="32"/>
    </row>
    <row r="16" spans="1:11" ht="31.5" customHeight="1" x14ac:dyDescent="0.35">
      <c r="A16" s="37" t="s">
        <v>29</v>
      </c>
      <c r="B16" s="30" t="s">
        <v>17</v>
      </c>
      <c r="C16" s="34" t="s">
        <v>16</v>
      </c>
      <c r="D16" s="32">
        <v>570</v>
      </c>
      <c r="E16" s="32">
        <v>21947745</v>
      </c>
      <c r="F16" s="33" t="s">
        <v>11</v>
      </c>
      <c r="G16" s="33" t="s">
        <v>11</v>
      </c>
      <c r="H16" s="32"/>
    </row>
    <row r="17" spans="1:11" ht="31.5" customHeight="1" x14ac:dyDescent="0.35">
      <c r="A17" s="37" t="s">
        <v>30</v>
      </c>
      <c r="B17" s="30" t="s">
        <v>17</v>
      </c>
      <c r="C17" s="32" t="s">
        <v>18</v>
      </c>
      <c r="D17" s="33" t="s">
        <v>11</v>
      </c>
      <c r="E17" s="33" t="s">
        <v>11</v>
      </c>
      <c r="F17" s="45">
        <v>34</v>
      </c>
      <c r="G17" s="45">
        <v>156000</v>
      </c>
      <c r="H17" s="32"/>
    </row>
    <row r="18" spans="1:11" ht="31.5" customHeight="1" x14ac:dyDescent="0.35">
      <c r="A18" s="37" t="s">
        <v>29</v>
      </c>
      <c r="B18" s="26" t="s">
        <v>19</v>
      </c>
      <c r="C18" s="27" t="s">
        <v>42</v>
      </c>
      <c r="D18" s="35">
        <v>221</v>
      </c>
      <c r="E18" s="35">
        <v>19791928</v>
      </c>
      <c r="F18" s="28" t="s">
        <v>11</v>
      </c>
      <c r="G18" s="28" t="s">
        <v>11</v>
      </c>
      <c r="H18" s="27"/>
    </row>
    <row r="19" spans="1:11" ht="31.5" customHeight="1" x14ac:dyDescent="0.35">
      <c r="A19" s="37" t="s">
        <v>29</v>
      </c>
      <c r="B19" s="26" t="s">
        <v>19</v>
      </c>
      <c r="C19" s="27" t="s">
        <v>47</v>
      </c>
      <c r="D19" s="35">
        <v>83</v>
      </c>
      <c r="E19" s="35">
        <v>7112659</v>
      </c>
      <c r="F19" s="28" t="s">
        <v>11</v>
      </c>
      <c r="G19" s="28" t="s">
        <v>11</v>
      </c>
      <c r="H19" s="27"/>
    </row>
    <row r="20" spans="1:11" ht="31.5" customHeight="1" x14ac:dyDescent="0.35">
      <c r="A20" s="37" t="s">
        <v>29</v>
      </c>
      <c r="B20" s="26" t="s">
        <v>19</v>
      </c>
      <c r="C20" s="27" t="s">
        <v>44</v>
      </c>
      <c r="D20" s="35">
        <v>1366</v>
      </c>
      <c r="E20" s="36">
        <v>55714078</v>
      </c>
      <c r="F20" s="28" t="s">
        <v>11</v>
      </c>
      <c r="G20" s="28" t="s">
        <v>11</v>
      </c>
      <c r="H20" s="27"/>
    </row>
    <row r="21" spans="1:11" ht="31.5" customHeight="1" x14ac:dyDescent="0.35">
      <c r="A21" s="37" t="s">
        <v>29</v>
      </c>
      <c r="B21" s="26" t="s">
        <v>19</v>
      </c>
      <c r="C21" s="27" t="s">
        <v>45</v>
      </c>
      <c r="D21" s="35">
        <v>491</v>
      </c>
      <c r="E21" s="35">
        <v>38792233</v>
      </c>
      <c r="F21" s="28" t="s">
        <v>11</v>
      </c>
      <c r="G21" s="28" t="s">
        <v>11</v>
      </c>
      <c r="H21" s="27"/>
    </row>
    <row r="22" spans="1:11" ht="31.5" customHeight="1" x14ac:dyDescent="0.35">
      <c r="A22" s="37" t="s">
        <v>29</v>
      </c>
      <c r="B22" s="26" t="s">
        <v>19</v>
      </c>
      <c r="C22" s="27" t="s">
        <v>46</v>
      </c>
      <c r="D22" s="35">
        <v>53</v>
      </c>
      <c r="E22" s="35">
        <v>4145152</v>
      </c>
      <c r="F22" s="28" t="s">
        <v>11</v>
      </c>
      <c r="G22" s="28" t="s">
        <v>11</v>
      </c>
      <c r="H22" s="27"/>
    </row>
    <row r="23" spans="1:11" ht="31.5" customHeight="1" x14ac:dyDescent="0.35">
      <c r="A23" s="37" t="s">
        <v>29</v>
      </c>
      <c r="B23" s="26" t="s">
        <v>19</v>
      </c>
      <c r="C23" s="29" t="s">
        <v>16</v>
      </c>
      <c r="D23" s="27">
        <v>535</v>
      </c>
      <c r="E23" s="27">
        <v>20120172</v>
      </c>
      <c r="F23" s="28" t="s">
        <v>11</v>
      </c>
      <c r="G23" s="28" t="s">
        <v>11</v>
      </c>
      <c r="H23" s="27"/>
    </row>
    <row r="24" spans="1:11" ht="31.5" customHeight="1" x14ac:dyDescent="0.35">
      <c r="A24" s="37" t="s">
        <v>30</v>
      </c>
      <c r="B24" s="26" t="s">
        <v>19</v>
      </c>
      <c r="C24" s="27" t="s">
        <v>18</v>
      </c>
      <c r="D24" s="28" t="s">
        <v>11</v>
      </c>
      <c r="E24" s="28" t="s">
        <v>11</v>
      </c>
      <c r="F24" s="27">
        <v>52</v>
      </c>
      <c r="G24" s="27">
        <v>312000</v>
      </c>
      <c r="H24" s="27"/>
    </row>
    <row r="25" spans="1:11" ht="31.5" customHeight="1" x14ac:dyDescent="0.35">
      <c r="A25" s="37" t="s">
        <v>29</v>
      </c>
      <c r="B25" s="30" t="s">
        <v>20</v>
      </c>
      <c r="C25" s="32" t="s">
        <v>10</v>
      </c>
      <c r="D25" s="32">
        <v>282</v>
      </c>
      <c r="E25" s="32">
        <v>22686024</v>
      </c>
      <c r="F25" s="33" t="s">
        <v>11</v>
      </c>
      <c r="G25" s="33" t="s">
        <v>11</v>
      </c>
      <c r="H25" s="32"/>
    </row>
    <row r="26" spans="1:11" ht="31.5" customHeight="1" x14ac:dyDescent="0.35">
      <c r="A26" s="37" t="s">
        <v>29</v>
      </c>
      <c r="B26" s="30" t="s">
        <v>20</v>
      </c>
      <c r="C26" s="32" t="s">
        <v>43</v>
      </c>
      <c r="D26" s="32">
        <v>94</v>
      </c>
      <c r="E26" s="32">
        <v>7310812</v>
      </c>
      <c r="F26" s="33" t="s">
        <v>11</v>
      </c>
      <c r="G26" s="33" t="s">
        <v>11</v>
      </c>
      <c r="H26" s="32"/>
    </row>
    <row r="27" spans="1:11" ht="31.5" customHeight="1" x14ac:dyDescent="0.35">
      <c r="A27" s="37" t="s">
        <v>29</v>
      </c>
      <c r="B27" s="30" t="s">
        <v>20</v>
      </c>
      <c r="C27" s="32" t="s">
        <v>44</v>
      </c>
      <c r="D27" s="32">
        <v>1390</v>
      </c>
      <c r="E27" s="32">
        <v>50481804.5</v>
      </c>
      <c r="F27" s="33" t="s">
        <v>11</v>
      </c>
      <c r="G27" s="33" t="s">
        <v>11</v>
      </c>
      <c r="H27" s="32"/>
    </row>
    <row r="28" spans="1:11" ht="31.5" customHeight="1" x14ac:dyDescent="0.35">
      <c r="A28" s="37" t="s">
        <v>29</v>
      </c>
      <c r="B28" s="30" t="s">
        <v>20</v>
      </c>
      <c r="C28" s="32" t="s">
        <v>45</v>
      </c>
      <c r="D28" s="32">
        <v>498</v>
      </c>
      <c r="E28" s="32">
        <v>36165848</v>
      </c>
      <c r="F28" s="33" t="s">
        <v>11</v>
      </c>
      <c r="G28" s="33" t="s">
        <v>11</v>
      </c>
      <c r="H28" s="32"/>
    </row>
    <row r="29" spans="1:11" ht="31.5" customHeight="1" x14ac:dyDescent="0.35">
      <c r="A29" s="37" t="s">
        <v>30</v>
      </c>
      <c r="B29" s="30" t="s">
        <v>20</v>
      </c>
      <c r="C29" s="32" t="s">
        <v>46</v>
      </c>
      <c r="D29" s="32">
        <v>51</v>
      </c>
      <c r="E29" s="32">
        <v>3661601</v>
      </c>
      <c r="F29" s="33" t="s">
        <v>11</v>
      </c>
      <c r="G29" s="33" t="s">
        <v>11</v>
      </c>
      <c r="H29" s="32"/>
      <c r="J29" s="25" t="s">
        <v>39</v>
      </c>
      <c r="K29" s="25" t="s">
        <v>40</v>
      </c>
    </row>
    <row r="30" spans="1:11" ht="31.5" customHeight="1" x14ac:dyDescent="0.35">
      <c r="A30" s="37" t="s">
        <v>29</v>
      </c>
      <c r="B30" s="30" t="s">
        <v>20</v>
      </c>
      <c r="C30" s="34" t="s">
        <v>16</v>
      </c>
      <c r="D30" s="32">
        <v>589</v>
      </c>
      <c r="E30" s="32">
        <v>8843144</v>
      </c>
      <c r="F30" s="33" t="s">
        <v>11</v>
      </c>
      <c r="G30" s="33" t="s">
        <v>11</v>
      </c>
      <c r="H30" s="32"/>
    </row>
    <row r="31" spans="1:11" ht="31.5" customHeight="1" x14ac:dyDescent="0.35">
      <c r="A31" s="37" t="s">
        <v>31</v>
      </c>
      <c r="B31" s="30" t="s">
        <v>20</v>
      </c>
      <c r="C31" s="32" t="s">
        <v>21</v>
      </c>
      <c r="D31" s="33" t="s">
        <v>11</v>
      </c>
      <c r="E31" s="33" t="s">
        <v>11</v>
      </c>
      <c r="F31" s="32">
        <v>1</v>
      </c>
      <c r="G31" s="32">
        <v>100000</v>
      </c>
      <c r="H31" s="32"/>
    </row>
    <row r="32" spans="1:11" ht="31.5" customHeight="1" x14ac:dyDescent="0.35">
      <c r="A32" s="37" t="s">
        <v>30</v>
      </c>
      <c r="B32" s="30" t="s">
        <v>20</v>
      </c>
      <c r="C32" s="32" t="s">
        <v>18</v>
      </c>
      <c r="D32" s="33" t="s">
        <v>11</v>
      </c>
      <c r="E32" s="33" t="s">
        <v>11</v>
      </c>
      <c r="F32" s="32">
        <v>20</v>
      </c>
      <c r="G32" s="32">
        <v>133000</v>
      </c>
      <c r="H32" s="32"/>
    </row>
    <row r="33" spans="1:8" ht="31.5" customHeight="1" x14ac:dyDescent="0.35">
      <c r="A33" s="37" t="s">
        <v>29</v>
      </c>
      <c r="B33" s="26" t="s">
        <v>22</v>
      </c>
      <c r="C33" s="27" t="s">
        <v>10</v>
      </c>
      <c r="D33" s="27">
        <v>221</v>
      </c>
      <c r="E33" s="27">
        <v>19791928</v>
      </c>
      <c r="F33" s="28" t="s">
        <v>11</v>
      </c>
      <c r="G33" s="28" t="s">
        <v>11</v>
      </c>
      <c r="H33" s="27"/>
    </row>
    <row r="34" spans="1:8" ht="31.5" customHeight="1" x14ac:dyDescent="0.35">
      <c r="A34" s="37" t="s">
        <v>29</v>
      </c>
      <c r="B34" s="26" t="s">
        <v>22</v>
      </c>
      <c r="C34" s="27" t="s">
        <v>12</v>
      </c>
      <c r="D34" s="27">
        <v>83</v>
      </c>
      <c r="E34" s="27">
        <v>7112659</v>
      </c>
      <c r="F34" s="28" t="s">
        <v>11</v>
      </c>
      <c r="G34" s="28" t="s">
        <v>11</v>
      </c>
      <c r="H34" s="27"/>
    </row>
    <row r="35" spans="1:8" ht="31.5" customHeight="1" x14ac:dyDescent="0.35">
      <c r="A35" s="37" t="s">
        <v>29</v>
      </c>
      <c r="B35" s="26" t="s">
        <v>22</v>
      </c>
      <c r="C35" s="27" t="s">
        <v>13</v>
      </c>
      <c r="D35" s="27">
        <v>1366</v>
      </c>
      <c r="E35" s="27">
        <v>55714078</v>
      </c>
      <c r="F35" s="28" t="s">
        <v>11</v>
      </c>
      <c r="G35" s="28" t="s">
        <v>11</v>
      </c>
      <c r="H35" s="27"/>
    </row>
    <row r="36" spans="1:8" ht="31.5" customHeight="1" x14ac:dyDescent="0.35">
      <c r="A36" s="37" t="s">
        <v>29</v>
      </c>
      <c r="B36" s="26" t="s">
        <v>22</v>
      </c>
      <c r="C36" s="27" t="s">
        <v>14</v>
      </c>
      <c r="D36" s="27">
        <v>491</v>
      </c>
      <c r="E36" s="27">
        <v>38792233</v>
      </c>
      <c r="F36" s="28" t="s">
        <v>11</v>
      </c>
      <c r="G36" s="28" t="s">
        <v>11</v>
      </c>
      <c r="H36" s="27"/>
    </row>
    <row r="37" spans="1:8" ht="31.5" customHeight="1" x14ac:dyDescent="0.35">
      <c r="A37" s="37" t="s">
        <v>29</v>
      </c>
      <c r="B37" s="26" t="s">
        <v>22</v>
      </c>
      <c r="C37" s="27" t="s">
        <v>15</v>
      </c>
      <c r="D37" s="27">
        <v>53</v>
      </c>
      <c r="E37" s="27">
        <v>4145152</v>
      </c>
      <c r="F37" s="28" t="s">
        <v>11</v>
      </c>
      <c r="G37" s="28" t="s">
        <v>11</v>
      </c>
      <c r="H37" s="27"/>
    </row>
    <row r="38" spans="1:8" ht="31.5" customHeight="1" x14ac:dyDescent="0.35">
      <c r="A38" s="37" t="s">
        <v>29</v>
      </c>
      <c r="B38" s="26" t="s">
        <v>22</v>
      </c>
      <c r="C38" s="29" t="s">
        <v>16</v>
      </c>
      <c r="D38" s="27">
        <v>535</v>
      </c>
      <c r="E38" s="27">
        <v>20159965</v>
      </c>
      <c r="F38" s="28" t="s">
        <v>11</v>
      </c>
      <c r="G38" s="28" t="s">
        <v>11</v>
      </c>
      <c r="H38" s="27"/>
    </row>
    <row r="39" spans="1:8" ht="31.5" customHeight="1" x14ac:dyDescent="0.35">
      <c r="A39" s="37" t="s">
        <v>31</v>
      </c>
      <c r="B39" s="26" t="s">
        <v>22</v>
      </c>
      <c r="C39" s="27" t="s">
        <v>21</v>
      </c>
      <c r="D39" s="28" t="s">
        <v>11</v>
      </c>
      <c r="E39" s="28" t="s">
        <v>11</v>
      </c>
      <c r="F39" s="27">
        <v>3</v>
      </c>
      <c r="G39" s="27">
        <v>58944</v>
      </c>
      <c r="H39" s="27"/>
    </row>
    <row r="40" spans="1:8" ht="31.5" customHeight="1" x14ac:dyDescent="0.35">
      <c r="A40" s="37" t="s">
        <v>30</v>
      </c>
      <c r="B40" s="26" t="s">
        <v>22</v>
      </c>
      <c r="C40" s="27" t="s">
        <v>18</v>
      </c>
      <c r="D40" s="28" t="s">
        <v>11</v>
      </c>
      <c r="E40" s="28" t="s">
        <v>11</v>
      </c>
      <c r="F40" s="27">
        <v>108</v>
      </c>
      <c r="G40" s="27">
        <v>648000</v>
      </c>
      <c r="H40" s="27"/>
    </row>
  </sheetData>
  <mergeCells count="6">
    <mergeCell ref="B1:H1"/>
    <mergeCell ref="B2:H2"/>
    <mergeCell ref="B4:B5"/>
    <mergeCell ref="C4:C5"/>
    <mergeCell ref="D4:E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workbookViewId="0">
      <selection activeCell="B8" sqref="B8:G10"/>
    </sheetView>
  </sheetViews>
  <sheetFormatPr defaultRowHeight="14.5" x14ac:dyDescent="0.35"/>
  <cols>
    <col min="1" max="1" width="6.6328125" customWidth="1"/>
    <col min="2" max="2" width="27.7265625" style="8" bestFit="1" customWidth="1"/>
    <col min="3" max="7" width="9" bestFit="1" customWidth="1"/>
  </cols>
  <sheetData>
    <row r="2" spans="2:8" ht="35" customHeight="1" x14ac:dyDescent="0.35">
      <c r="B2" s="55" t="s">
        <v>48</v>
      </c>
      <c r="C2" s="55"/>
      <c r="D2" s="55"/>
      <c r="E2" s="55"/>
      <c r="F2" s="55"/>
      <c r="G2" s="55"/>
      <c r="H2" s="55"/>
    </row>
    <row r="3" spans="2:8" ht="23.5" customHeight="1" x14ac:dyDescent="0.35">
      <c r="B3" s="5" t="s">
        <v>2</v>
      </c>
      <c r="C3" s="12" t="s">
        <v>28</v>
      </c>
      <c r="D3" s="12" t="s">
        <v>23</v>
      </c>
      <c r="E3" s="12" t="s">
        <v>24</v>
      </c>
      <c r="F3" s="12" t="s">
        <v>25</v>
      </c>
      <c r="G3" s="12" t="s">
        <v>26</v>
      </c>
      <c r="H3" s="52" t="s">
        <v>34</v>
      </c>
    </row>
    <row r="4" spans="2:8" ht="23.5" customHeight="1" x14ac:dyDescent="0.35">
      <c r="B4" s="22" t="s">
        <v>37</v>
      </c>
      <c r="C4" s="12">
        <f>SUMIF('511&amp;512'!$B6:'511&amp;512'!$B40, "2015-2016", '511&amp;512'!$D6:'511&amp;512'!$D40)</f>
        <v>2836</v>
      </c>
      <c r="D4" s="12">
        <f>SUMIF('511&amp;512'!$B6:'511&amp;512'!$B40, "2016-2017", '511&amp;512'!$D6:'511&amp;512'!$D40)</f>
        <v>2721</v>
      </c>
      <c r="E4" s="12">
        <f>SUMIF('511&amp;512'!$B6:'511&amp;512'!$B40, "2017-2018", '511&amp;512'!$D6:'511&amp;512'!$D40)</f>
        <v>2749</v>
      </c>
      <c r="F4" s="12">
        <f>SUMIF('511&amp;512'!$B6:'511&amp;512'!$B40, "2018-2019", '511&amp;512'!$D6:'511&amp;512'!$D40)</f>
        <v>2904</v>
      </c>
      <c r="G4" s="12">
        <f>SUMIF('511&amp;512'!$B6:'511&amp;512'!$B40, "2019-2020", '511&amp;512'!$D6:'511&amp;512'!$D40)</f>
        <v>2749</v>
      </c>
      <c r="H4" s="53"/>
    </row>
    <row r="5" spans="2:8" ht="23.5" customHeight="1" x14ac:dyDescent="0.35">
      <c r="B5" s="39" t="s">
        <v>27</v>
      </c>
      <c r="C5" s="21">
        <v>3776</v>
      </c>
      <c r="D5" s="21">
        <v>3493</v>
      </c>
      <c r="E5" s="21">
        <v>3456</v>
      </c>
      <c r="F5" s="21">
        <v>3453</v>
      </c>
      <c r="G5" s="21">
        <v>3202</v>
      </c>
      <c r="H5" s="54"/>
    </row>
    <row r="6" spans="2:8" ht="23.5" customHeight="1" x14ac:dyDescent="0.35">
      <c r="B6" s="41" t="s">
        <v>41</v>
      </c>
      <c r="C6" s="42">
        <f>C4*100/C5</f>
        <v>75.105932203389827</v>
      </c>
      <c r="D6" s="42">
        <f t="shared" ref="D6:G6" si="0">D4*100/D5</f>
        <v>77.898654451760663</v>
      </c>
      <c r="E6" s="42">
        <f t="shared" si="0"/>
        <v>79.542824074074076</v>
      </c>
      <c r="F6" s="42">
        <f t="shared" si="0"/>
        <v>84.100781928757598</v>
      </c>
      <c r="G6" s="43">
        <f t="shared" si="0"/>
        <v>85.852592129918804</v>
      </c>
      <c r="H6" s="44">
        <f>AVERAGE(C6:G6)</f>
        <v>80.500156957580202</v>
      </c>
    </row>
    <row r="8" spans="2:8" ht="35" customHeight="1" x14ac:dyDescent="0.35">
      <c r="B8" s="55" t="s">
        <v>51</v>
      </c>
      <c r="C8" s="55"/>
      <c r="D8" s="55"/>
      <c r="E8" s="55"/>
      <c r="F8" s="55"/>
      <c r="G8" s="55"/>
      <c r="H8" s="40"/>
    </row>
    <row r="9" spans="2:8" ht="27" customHeight="1" x14ac:dyDescent="0.35">
      <c r="B9" s="13" t="s">
        <v>2</v>
      </c>
      <c r="C9" s="15" t="s">
        <v>28</v>
      </c>
      <c r="D9" s="15" t="s">
        <v>23</v>
      </c>
      <c r="E9" s="15" t="s">
        <v>24</v>
      </c>
      <c r="F9" s="15" t="s">
        <v>25</v>
      </c>
      <c r="G9" s="15" t="s">
        <v>26</v>
      </c>
    </row>
    <row r="10" spans="2:8" ht="44" customHeight="1" x14ac:dyDescent="0.35">
      <c r="B10" s="16" t="s">
        <v>36</v>
      </c>
      <c r="C10" s="17">
        <f>(SUMIF('511&amp;512'!$B$6:'511&amp;512'!$B$40, "2015-2016", '511&amp;512'!$E$6:'511&amp;512'!$E$40))/100000</f>
        <v>1506.9631549999999</v>
      </c>
      <c r="D10" s="17">
        <f>(SUMIF('511&amp;512'!$B$6:'511&amp;512'!$B$40, "2016-2017", '511&amp;512'!$E$6:'511&amp;512'!$E$40))/100000</f>
        <v>1396.4315200000001</v>
      </c>
      <c r="E10" s="17">
        <f>(SUMIF('511&amp;512'!$B$6:'511&amp;512'!$B$40, "2017-2018", '511&amp;512'!$E$6:'511&amp;512'!$E$40))/100000</f>
        <v>1456.7622200000001</v>
      </c>
      <c r="F10" s="17">
        <f>(SUMIF('511&amp;512'!$B$6:'511&amp;512'!$B$40, "2018-2019", '511&amp;512'!$E$6:'511&amp;512'!$E$40))/100000</f>
        <v>1291.4923349999999</v>
      </c>
      <c r="G10" s="17">
        <f>(SUMIF('511&amp;512'!$B$6:'511&amp;512'!$B$40, "2019-2020", '511&amp;512'!$E$6:'511&amp;512'!$E$40))/100000</f>
        <v>1457.1601499999999</v>
      </c>
    </row>
    <row r="13" spans="2:8" ht="15" x14ac:dyDescent="0.25">
      <c r="C13" s="19"/>
      <c r="D13" s="19"/>
      <c r="E13" s="19"/>
      <c r="F13" s="19"/>
      <c r="G13" s="19"/>
      <c r="H13" s="19"/>
    </row>
    <row r="14" spans="2:8" ht="15.5" x14ac:dyDescent="0.35">
      <c r="C14" s="20"/>
      <c r="D14" s="20"/>
      <c r="E14" s="20"/>
      <c r="F14" s="20"/>
      <c r="G14" s="20"/>
      <c r="H14" s="19"/>
    </row>
    <row r="15" spans="2:8" ht="15" x14ac:dyDescent="0.25">
      <c r="C15" s="19"/>
      <c r="D15" s="19"/>
      <c r="E15" s="19"/>
      <c r="F15" s="19"/>
      <c r="G15" s="19"/>
      <c r="H15" s="19"/>
    </row>
    <row r="16" spans="2:8" x14ac:dyDescent="0.35">
      <c r="C16" s="19"/>
      <c r="D16" s="19"/>
      <c r="E16" s="19"/>
      <c r="F16" s="19"/>
      <c r="G16" s="19"/>
      <c r="H16" s="19"/>
    </row>
    <row r="17" spans="4:7" x14ac:dyDescent="0.35">
      <c r="D17" s="38"/>
    </row>
    <row r="18" spans="4:7" x14ac:dyDescent="0.35">
      <c r="D18" s="38"/>
    </row>
    <row r="19" spans="4:7" x14ac:dyDescent="0.35">
      <c r="D19" s="38"/>
    </row>
    <row r="22" spans="4:7" x14ac:dyDescent="0.35">
      <c r="G22" t="s">
        <v>35</v>
      </c>
    </row>
  </sheetData>
  <mergeCells count="3">
    <mergeCell ref="H3:H5"/>
    <mergeCell ref="B2:H2"/>
    <mergeCell ref="B8:G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tabSelected="1" topLeftCell="A10" workbookViewId="0">
      <selection activeCell="B19" sqref="B19:G23"/>
    </sheetView>
  </sheetViews>
  <sheetFormatPr defaultRowHeight="14.5" x14ac:dyDescent="0.35"/>
  <cols>
    <col min="2" max="2" width="27.1796875" style="24" bestFit="1" customWidth="1"/>
  </cols>
  <sheetData>
    <row r="2" spans="2:8" ht="34.5" customHeight="1" x14ac:dyDescent="0.35">
      <c r="B2" s="55" t="s">
        <v>49</v>
      </c>
      <c r="C2" s="55"/>
      <c r="D2" s="55"/>
      <c r="E2" s="55"/>
      <c r="F2" s="55"/>
      <c r="G2" s="55"/>
      <c r="H2" s="55"/>
    </row>
    <row r="3" spans="2:8" ht="24" customHeight="1" x14ac:dyDescent="0.35">
      <c r="B3" s="5" t="s">
        <v>2</v>
      </c>
      <c r="C3" s="6" t="s">
        <v>28</v>
      </c>
      <c r="D3" s="6" t="s">
        <v>23</v>
      </c>
      <c r="E3" s="6" t="s">
        <v>24</v>
      </c>
      <c r="F3" s="6" t="s">
        <v>25</v>
      </c>
      <c r="G3" s="6" t="s">
        <v>26</v>
      </c>
      <c r="H3" s="52" t="s">
        <v>34</v>
      </c>
    </row>
    <row r="4" spans="2:8" ht="24" customHeight="1" x14ac:dyDescent="0.35">
      <c r="B4" s="9" t="s">
        <v>31</v>
      </c>
      <c r="C4" s="6">
        <f>SUMIFS('511&amp;512'!$F6:'511&amp;512'!$F40, '511&amp;512'!$A6:'511&amp;512'!$A40, "CUMMINS",'511&amp;512'!$B6:'511&amp;512'!$B40, "2015-2016")</f>
        <v>0</v>
      </c>
      <c r="D4" s="6">
        <f>SUMIFS('511&amp;512'!$F6:'511&amp;512'!$F40, '511&amp;512'!$A6:'511&amp;512'!$A40, "CUMMINS",'511&amp;512'!$B6:'511&amp;512'!$B40, "2016-2017")</f>
        <v>0</v>
      </c>
      <c r="E4" s="6">
        <f>SUMIFS('511&amp;512'!$F6:'511&amp;512'!$F40, '511&amp;512'!$A6:'511&amp;512'!$A40, "CUMMINS",'511&amp;512'!$B6:'511&amp;512'!$B40, "2017-2018")</f>
        <v>0</v>
      </c>
      <c r="F4" s="6">
        <f>SUMIFS('511&amp;512'!$F6:'511&amp;512'!$F40, '511&amp;512'!$A6:'511&amp;512'!$A40, "CUMMINS",'511&amp;512'!$B6:'511&amp;512'!$B40, "2018-2019")</f>
        <v>1</v>
      </c>
      <c r="G4" s="6">
        <f>SUMIFS('511&amp;512'!$F6:'511&amp;512'!$F40, '511&amp;512'!$A6:'511&amp;512'!$A40, "CUMMINS",'511&amp;512'!$B6:'511&amp;512'!$B40, "2019-2020")</f>
        <v>3</v>
      </c>
      <c r="H4" s="53"/>
    </row>
    <row r="5" spans="2:8" ht="24" customHeight="1" x14ac:dyDescent="0.35">
      <c r="B5" s="11" t="s">
        <v>30</v>
      </c>
      <c r="C5" s="6">
        <f>SUMIFS('511&amp;512'!$F7:'511&amp;512'!$F41, '511&amp;512'!$A7:'511&amp;512'!$A41, "AMS",'511&amp;512'!$B7:'511&amp;512'!$B41, "2015-2016")</f>
        <v>0</v>
      </c>
      <c r="D5" s="6">
        <f>SUMIFS('511&amp;512'!$F7:'511&amp;512'!$F41, '511&amp;512'!$A7:'511&amp;512'!$A41, "AMS",'511&amp;512'!$B7:'511&amp;512'!$B41, "2016-2017")</f>
        <v>34</v>
      </c>
      <c r="E5" s="6">
        <f>SUMIFS('511&amp;512'!$F7:'511&amp;512'!$F41, '511&amp;512'!$A7:'511&amp;512'!$A41, "AMS",'511&amp;512'!$B7:'511&amp;512'!$B41, "2017-2018")</f>
        <v>52</v>
      </c>
      <c r="F5" s="6">
        <f>SUMIFS('511&amp;512'!$F7:'511&amp;512'!$F41, '511&amp;512'!$A7:'511&amp;512'!$A41, "AMS",'511&amp;512'!$B7:'511&amp;512'!$B41, "2018-2019")</f>
        <v>20</v>
      </c>
      <c r="G5" s="6">
        <f>SUMIFS('511&amp;512'!$F7:'511&amp;512'!$F41, '511&amp;512'!$A7:'511&amp;512'!$A41, "AMS",'511&amp;512'!$B7:'511&amp;512'!$B41, "2019-2020")</f>
        <v>108</v>
      </c>
      <c r="H5" s="53"/>
    </row>
    <row r="6" spans="2:8" ht="24" customHeight="1" x14ac:dyDescent="0.35">
      <c r="B6" s="22" t="s">
        <v>38</v>
      </c>
      <c r="C6" s="10">
        <f>SUMIF('511&amp;512'!$B$6:'511&amp;512'!$B$40, "2015-2016", '511&amp;512'!$F$6:'511&amp;512'!$F$40)</f>
        <v>0</v>
      </c>
      <c r="D6" s="10">
        <f>SUMIF('511&amp;512'!$B$6:'511&amp;512'!$B$40, "2016-2017", '511&amp;512'!$F$6:'511&amp;512'!$F$40)</f>
        <v>34</v>
      </c>
      <c r="E6" s="10">
        <f>SUMIF('511&amp;512'!$B$6:'511&amp;512'!$B$40, "2017-2018", '511&amp;512'!$F$6:'511&amp;512'!$F$40)</f>
        <v>52</v>
      </c>
      <c r="F6" s="10">
        <f>SUMIF('511&amp;512'!$B$6:'511&amp;512'!$B$40, "2018-2019", '511&amp;512'!$F$6:'511&amp;512'!$F$40)</f>
        <v>21</v>
      </c>
      <c r="G6" s="10">
        <f>SUMIF('511&amp;512'!$B$6:'511&amp;512'!$B$40, "2019-2020", '511&amp;512'!$F$6:'511&amp;512'!$F$40)</f>
        <v>111</v>
      </c>
      <c r="H6" s="53"/>
    </row>
    <row r="7" spans="2:8" ht="24" customHeight="1" x14ac:dyDescent="0.35">
      <c r="B7" s="23" t="s">
        <v>27</v>
      </c>
      <c r="C7" s="10">
        <f>'511 summary'!C5</f>
        <v>3776</v>
      </c>
      <c r="D7" s="10">
        <f>'511 summary'!D5</f>
        <v>3493</v>
      </c>
      <c r="E7" s="10">
        <f>'511 summary'!E5</f>
        <v>3456</v>
      </c>
      <c r="F7" s="10">
        <f>'511 summary'!F5</f>
        <v>3453</v>
      </c>
      <c r="G7" s="10">
        <f>'511 summary'!G5</f>
        <v>3202</v>
      </c>
      <c r="H7" s="54"/>
    </row>
    <row r="8" spans="2:8" ht="24" customHeight="1" x14ac:dyDescent="0.25">
      <c r="B8" s="41" t="s">
        <v>33</v>
      </c>
      <c r="C8" s="42">
        <f>C6*100/C7</f>
        <v>0</v>
      </c>
      <c r="D8" s="42">
        <f t="shared" ref="D8:G8" si="0">D6*100/D7</f>
        <v>0.97337532207271682</v>
      </c>
      <c r="E8" s="42">
        <f t="shared" si="0"/>
        <v>1.5046296296296295</v>
      </c>
      <c r="F8" s="42">
        <f t="shared" si="0"/>
        <v>0.60816681146828844</v>
      </c>
      <c r="G8" s="42">
        <f t="shared" si="0"/>
        <v>3.4665833853841348</v>
      </c>
      <c r="H8" s="44">
        <f>AVERAGE(C8:G8)</f>
        <v>1.3105510297109539</v>
      </c>
    </row>
    <row r="11" spans="2:8" ht="15" x14ac:dyDescent="0.25">
      <c r="H11" t="s">
        <v>35</v>
      </c>
    </row>
    <row r="13" spans="2:8" ht="16.5" x14ac:dyDescent="0.25">
      <c r="B13" s="5"/>
      <c r="C13" s="12" t="s">
        <v>28</v>
      </c>
      <c r="D13" s="12" t="s">
        <v>23</v>
      </c>
      <c r="E13" s="12" t="s">
        <v>24</v>
      </c>
      <c r="F13" s="12" t="s">
        <v>25</v>
      </c>
      <c r="G13" s="12" t="s">
        <v>26</v>
      </c>
    </row>
    <row r="14" spans="2:8" ht="16.5" x14ac:dyDescent="0.25">
      <c r="B14" s="13" t="s">
        <v>31</v>
      </c>
      <c r="C14" s="12">
        <f>SUMIFS('511&amp;512'!$G$6:'511&amp;512'!$G$40, '511&amp;512'!$A$6:'511&amp;512'!$A$40, "CUMMINS",'511&amp;512'!$B$6:'511&amp;512'!$B$40, "2015-2016")</f>
        <v>0</v>
      </c>
      <c r="D14" s="12">
        <f>SUMIFS('511&amp;512'!$G$6:'511&amp;512'!$G$40, '511&amp;512'!$A$6:'511&amp;512'!$A$40, "CUMMINS",'511&amp;512'!$B$6:'511&amp;512'!$B$40, "2016-2017")</f>
        <v>0</v>
      </c>
      <c r="E14" s="12">
        <f>SUMIFS('511&amp;512'!$G$6:'511&amp;512'!$G$40, '511&amp;512'!$A$6:'511&amp;512'!$A$40, "CUMMINS",'511&amp;512'!$B$6:'511&amp;512'!$B$40, "2017-2018")</f>
        <v>0</v>
      </c>
      <c r="F14" s="12">
        <f>SUMIFS('511&amp;512'!$G$6:'511&amp;512'!$G$40, '511&amp;512'!$A$6:'511&amp;512'!$A$40, "CUMMINS",'511&amp;512'!$B$6:'511&amp;512'!$B$40, "2018-2019")</f>
        <v>100000</v>
      </c>
      <c r="G14" s="12">
        <f>SUMIFS('511&amp;512'!$G$6:'511&amp;512'!$G$40, '511&amp;512'!$A$6:'511&amp;512'!$A$40, "CUMMINS",'511&amp;512'!$B$6:'511&amp;512'!$B$40, "2019-2020")</f>
        <v>58944</v>
      </c>
    </row>
    <row r="15" spans="2:8" ht="16.5" x14ac:dyDescent="0.25">
      <c r="B15" s="14" t="s">
        <v>30</v>
      </c>
      <c r="C15" s="12">
        <f>SUMIFS('511&amp;512'!$G$6:'511&amp;512'!$G$40, '511&amp;512'!$A$6:'511&amp;512'!$A$40, "AMS",'511&amp;512'!$B$6:'511&amp;512'!$B$40, "2015-2016")</f>
        <v>0</v>
      </c>
      <c r="D15" s="12">
        <f>SUMIFS('511&amp;512'!$G$6:'511&amp;512'!$G$40, '511&amp;512'!$A$6:'511&amp;512'!$A$40, "AMS",'511&amp;512'!$B$6:'511&amp;512'!$B$40, "2016-2017")</f>
        <v>156000</v>
      </c>
      <c r="E15" s="12">
        <f>SUMIFS('511&amp;512'!$G$6:'511&amp;512'!$G$40, '511&amp;512'!$A$6:'511&amp;512'!$A$40, "AMS",'511&amp;512'!$B$6:'511&amp;512'!$B$40, "2017-2018")</f>
        <v>312000</v>
      </c>
      <c r="F15" s="12">
        <f>SUMIFS('511&amp;512'!$G$6:'511&amp;512'!$G$40, '511&amp;512'!$A$6:'511&amp;512'!$A$40, "AMS",'511&amp;512'!$B$6:'511&amp;512'!$B$40, "2018-2019")</f>
        <v>133000</v>
      </c>
      <c r="G15" s="12">
        <f>SUMIFS('511&amp;512'!$G$6:'511&amp;512'!$G$40, '511&amp;512'!$A$6:'511&amp;512'!$A$40, "AMS",'511&amp;512'!$B$6:'511&amp;512'!$B$40, "2019-2020")</f>
        <v>648000</v>
      </c>
    </row>
    <row r="16" spans="2:8" ht="15.75" x14ac:dyDescent="0.25">
      <c r="B16" s="7" t="s">
        <v>32</v>
      </c>
      <c r="C16" s="15">
        <f>SUMIF('511&amp;512'!$B$6:'511&amp;512'!$B$40, "2015-2016", '511&amp;512'!$G$6:'511&amp;512'!$G$40)</f>
        <v>0</v>
      </c>
      <c r="D16" s="15">
        <f>SUMIF('511&amp;512'!$B$6:'511&amp;512'!$B$40, "2016-2017", '511&amp;512'!$G$6:'511&amp;512'!$G$40)</f>
        <v>156000</v>
      </c>
      <c r="E16" s="15">
        <f>SUMIF('511&amp;512'!$B$6:'511&amp;512'!$B$40, "2017-2018", '511&amp;512'!$G$6:'511&amp;512'!$G$40)</f>
        <v>312000</v>
      </c>
      <c r="F16" s="15">
        <f>SUMIF('511&amp;512'!$B$6:'511&amp;512'!$B$40, "2018-2019", '511&amp;512'!$G$6:'511&amp;512'!$G$40)</f>
        <v>233000</v>
      </c>
      <c r="G16" s="15">
        <f>SUMIF('511&amp;512'!$B$6:'511&amp;512'!$B$40, "2019-2020", '511&amp;512'!$G$6:'511&amp;512'!$G$40)</f>
        <v>706944</v>
      </c>
    </row>
    <row r="19" spans="2:7" ht="29.5" customHeight="1" x14ac:dyDescent="0.35">
      <c r="B19" s="55" t="s">
        <v>50</v>
      </c>
      <c r="C19" s="55"/>
      <c r="D19" s="55"/>
      <c r="E19" s="55"/>
      <c r="F19" s="55"/>
      <c r="G19" s="55"/>
    </row>
    <row r="20" spans="2:7" ht="15.5" x14ac:dyDescent="0.35">
      <c r="B20" s="5"/>
      <c r="C20" s="12" t="s">
        <v>28</v>
      </c>
      <c r="D20" s="12" t="s">
        <v>23</v>
      </c>
      <c r="E20" s="12" t="s">
        <v>24</v>
      </c>
      <c r="F20" s="12" t="s">
        <v>25</v>
      </c>
      <c r="G20" s="12" t="s">
        <v>26</v>
      </c>
    </row>
    <row r="21" spans="2:7" ht="15.5" x14ac:dyDescent="0.35">
      <c r="B21" s="13" t="s">
        <v>31</v>
      </c>
      <c r="C21" s="18">
        <f>C14/100000</f>
        <v>0</v>
      </c>
      <c r="D21" s="18">
        <f t="shared" ref="D21:G21" si="1">D14/100000</f>
        <v>0</v>
      </c>
      <c r="E21" s="18">
        <f t="shared" si="1"/>
        <v>0</v>
      </c>
      <c r="F21" s="18">
        <f t="shared" si="1"/>
        <v>1</v>
      </c>
      <c r="G21" s="18">
        <f t="shared" si="1"/>
        <v>0.58943999999999996</v>
      </c>
    </row>
    <row r="22" spans="2:7" ht="15.5" x14ac:dyDescent="0.35">
      <c r="B22" s="14" t="s">
        <v>30</v>
      </c>
      <c r="C22" s="18">
        <f t="shared" ref="C22:G22" si="2">C15/100000</f>
        <v>0</v>
      </c>
      <c r="D22" s="18">
        <f t="shared" si="2"/>
        <v>1.56</v>
      </c>
      <c r="E22" s="18">
        <f t="shared" si="2"/>
        <v>3.12</v>
      </c>
      <c r="F22" s="18">
        <f t="shared" si="2"/>
        <v>1.33</v>
      </c>
      <c r="G22" s="18">
        <f t="shared" si="2"/>
        <v>6.48</v>
      </c>
    </row>
    <row r="23" spans="2:7" ht="16" x14ac:dyDescent="0.35">
      <c r="B23" s="46" t="s">
        <v>32</v>
      </c>
      <c r="C23" s="47">
        <f t="shared" ref="C23:G23" si="3">C16/100000</f>
        <v>0</v>
      </c>
      <c r="D23" s="47">
        <f t="shared" si="3"/>
        <v>1.56</v>
      </c>
      <c r="E23" s="47">
        <f t="shared" si="3"/>
        <v>3.12</v>
      </c>
      <c r="F23" s="47">
        <f t="shared" si="3"/>
        <v>2.33</v>
      </c>
      <c r="G23" s="47">
        <f t="shared" si="3"/>
        <v>7.0694400000000002</v>
      </c>
    </row>
  </sheetData>
  <mergeCells count="3">
    <mergeCell ref="H3:H7"/>
    <mergeCell ref="B2:H2"/>
    <mergeCell ref="B19:G1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511&amp;512</vt:lpstr>
      <vt:lpstr>511 summary</vt:lpstr>
      <vt:lpstr>512 summary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anura</cp:lastModifiedBy>
  <dcterms:created xsi:type="dcterms:W3CDTF">2020-12-25T01:08:18Z</dcterms:created>
  <dcterms:modified xsi:type="dcterms:W3CDTF">2021-04-07T09:51:46Z</dcterms:modified>
</cp:coreProperties>
</file>