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40" windowWidth="19420" windowHeight="9540" activeTab="1"/>
  </bookViews>
  <sheets>
    <sheet name="311&amp;313" sheetId="1" r:id="rId1"/>
    <sheet name="Summary 311" sheetId="2" r:id="rId2"/>
    <sheet name="Summary 313" sheetId="4" r:id="rId3"/>
    <sheet name="Sheet3" sheetId="3" r:id="rId4"/>
  </sheets>
  <definedNames>
    <definedName name="_xlnm._FilterDatabase" localSheetId="0" hidden="1">'311&amp;313'!$A$1:$M$2</definedName>
  </definedNames>
  <calcPr calcId="144525"/>
</workbook>
</file>

<file path=xl/calcChain.xml><?xml version="1.0" encoding="utf-8"?>
<calcChain xmlns="http://schemas.openxmlformats.org/spreadsheetml/2006/main">
  <c r="I12" i="4" l="1"/>
  <c r="H12" i="4"/>
  <c r="G12" i="4"/>
  <c r="F12" i="4"/>
  <c r="E12" i="4"/>
  <c r="I11" i="4"/>
  <c r="H11" i="4"/>
  <c r="G11" i="4"/>
  <c r="F11" i="4"/>
  <c r="E11" i="4"/>
  <c r="I10" i="4"/>
  <c r="H10" i="4"/>
  <c r="G10" i="4"/>
  <c r="F10" i="4"/>
  <c r="E10" i="4"/>
  <c r="I9" i="4"/>
  <c r="H9" i="4"/>
  <c r="G9" i="4"/>
  <c r="F9" i="4"/>
  <c r="E9" i="4"/>
  <c r="I8" i="4"/>
  <c r="H8" i="4"/>
  <c r="G8" i="4"/>
  <c r="F8" i="4"/>
  <c r="E8" i="4"/>
  <c r="I7" i="4"/>
  <c r="H7" i="4"/>
  <c r="G7" i="4"/>
  <c r="F7" i="4"/>
  <c r="E7" i="4"/>
  <c r="I6" i="4"/>
  <c r="H6" i="4"/>
  <c r="G6" i="4"/>
  <c r="F6" i="4"/>
  <c r="E6" i="4"/>
  <c r="I5" i="4"/>
  <c r="H5" i="4"/>
  <c r="G5" i="4"/>
  <c r="F5" i="4"/>
  <c r="E5" i="4"/>
  <c r="I4" i="4"/>
  <c r="H4" i="4"/>
  <c r="G4" i="4"/>
  <c r="F4" i="4"/>
  <c r="E4" i="4"/>
  <c r="G13" i="4" l="1"/>
  <c r="H13" i="4"/>
  <c r="F13" i="4"/>
  <c r="E13" i="4"/>
  <c r="I13" i="4"/>
  <c r="H12" i="2"/>
  <c r="H11" i="2"/>
  <c r="H10" i="2"/>
  <c r="H9" i="2"/>
  <c r="H8" i="2"/>
  <c r="H7" i="2"/>
  <c r="H6" i="2"/>
  <c r="H5" i="2"/>
  <c r="H4" i="2"/>
  <c r="G12" i="2"/>
  <c r="G11" i="2"/>
  <c r="G10" i="2"/>
  <c r="G9" i="2"/>
  <c r="G8" i="2"/>
  <c r="G7" i="2"/>
  <c r="G6" i="2"/>
  <c r="G5" i="2"/>
  <c r="G4" i="2"/>
  <c r="F12" i="2"/>
  <c r="F11" i="2"/>
  <c r="F10" i="2"/>
  <c r="F9" i="2"/>
  <c r="F8" i="2"/>
  <c r="F7" i="2"/>
  <c r="F6" i="2"/>
  <c r="F5" i="2"/>
  <c r="F4" i="2"/>
  <c r="E12" i="2"/>
  <c r="E11" i="2"/>
  <c r="E10" i="2"/>
  <c r="E9" i="2"/>
  <c r="E8" i="2"/>
  <c r="E7" i="2"/>
  <c r="E6" i="2"/>
  <c r="E5" i="2"/>
  <c r="E4" i="2"/>
  <c r="D12" i="2"/>
  <c r="D11" i="2"/>
  <c r="D10" i="2"/>
  <c r="D9" i="2"/>
  <c r="D8" i="2"/>
  <c r="D7" i="2"/>
  <c r="D6" i="2"/>
  <c r="D5" i="2"/>
  <c r="D4" i="2"/>
  <c r="J13" i="4" l="1"/>
  <c r="E13" i="2"/>
  <c r="D13" i="2"/>
  <c r="F13" i="2"/>
  <c r="H13" i="2"/>
  <c r="G13" i="2"/>
</calcChain>
</file>

<file path=xl/sharedStrings.xml><?xml version="1.0" encoding="utf-8"?>
<sst xmlns="http://schemas.openxmlformats.org/spreadsheetml/2006/main" count="229" uniqueCount="77">
  <si>
    <t>2015-16</t>
  </si>
  <si>
    <t>2016-17</t>
  </si>
  <si>
    <t>Mechanical Engineering</t>
  </si>
  <si>
    <t>2017-18</t>
  </si>
  <si>
    <t>2018-19</t>
  </si>
  <si>
    <t>Sr.No.</t>
  </si>
  <si>
    <t>Name of Department</t>
  </si>
  <si>
    <t>Name of the Project/ Endowments, Chairs</t>
  </si>
  <si>
    <t>Name of the Principal Investigator/Co-investivator</t>
  </si>
  <si>
    <t>Department of Principal Investigator</t>
  </si>
  <si>
    <t>Year of Award</t>
  </si>
  <si>
    <t>Amount Sanctioned</t>
  </si>
  <si>
    <t>Duration of the project</t>
  </si>
  <si>
    <t>Name of the Funding Agency</t>
  </si>
  <si>
    <t>Type  (Government/non-Government)</t>
  </si>
  <si>
    <t>Year</t>
  </si>
  <si>
    <t>3.1.1 Grants received from Government and non-governmental agencies for research projects, endowments, Chairs in the institution during the last five years (INR in Lakhs)  (5)</t>
  </si>
  <si>
    <t>Dept</t>
  </si>
  <si>
    <t>CE</t>
  </si>
  <si>
    <t>Comp</t>
  </si>
  <si>
    <t>EE</t>
  </si>
  <si>
    <t>ETC</t>
  </si>
  <si>
    <t>IT</t>
  </si>
  <si>
    <t>ME</t>
  </si>
  <si>
    <t>PE</t>
  </si>
  <si>
    <t>2019-20</t>
  </si>
  <si>
    <t>Civil</t>
  </si>
  <si>
    <t>Electrical</t>
  </si>
  <si>
    <t>Elex</t>
  </si>
  <si>
    <t>Mech</t>
  </si>
  <si>
    <t>Prod</t>
  </si>
  <si>
    <t>MBA</t>
  </si>
  <si>
    <t>Total</t>
  </si>
  <si>
    <t>No of Departments having Research projects</t>
  </si>
  <si>
    <t xml:space="preserve">Percentage of  departments having Research projects  funded by government and non-government agencies </t>
  </si>
  <si>
    <t>Prof. B.K.Varpe, Mayur Shinde</t>
  </si>
  <si>
    <t>Amrutvahini College of Engineering</t>
  </si>
  <si>
    <t>Non-Government</t>
  </si>
  <si>
    <t>Efficycle 2016,15-18 October 2016 at LPU, Jalandhar Punjab</t>
  </si>
  <si>
    <t>Prof. B.K.Varpe, Hrishikesh Landage</t>
  </si>
  <si>
    <t>Participated SAE TIFAN 2018 Competition,21 -23 March2018 at MPKV, Rahuri</t>
  </si>
  <si>
    <t>Prof. B.K.Varpe,Kanade Prashant</t>
  </si>
  <si>
    <t>Participated in Future Solar Design Challenge 2019 at Chitkara University, Rajpura, Punjab, 13-16 March 2019 by Team Sunsrikers</t>
  </si>
  <si>
    <t>Kale Vishal,Shirode Sushant</t>
  </si>
  <si>
    <t>Ashish Koli, Pramod Pawar</t>
  </si>
  <si>
    <t>Prof. B.K.Varpe, Shubham Khilari, Londhe Monika</t>
  </si>
  <si>
    <t>Participated Formula Bharat 2019 competition at Coimbatore, Tamilnadu 23-27 January, 2019</t>
  </si>
  <si>
    <t>Prof. B.K.Varpe, Chetan Tule</t>
  </si>
  <si>
    <t>Participated SAE AERO Design Challenge 2019 ,19-22th july 2019, competition at Chennai</t>
  </si>
  <si>
    <t>Prof. B.K.Varpe, Dhoke Shubham</t>
  </si>
  <si>
    <t>Project on, Pneumatic Trainer Kit</t>
  </si>
  <si>
    <t>Dr.P.N. Nagare, Jayesh Nikam, Sahani Archana, Akshada Datir</t>
  </si>
  <si>
    <t>Project on, Cooling Tower Test Rig</t>
  </si>
  <si>
    <t>Prof. V.S.Aher, Ganraj Kotpalliwar, Bhushan Deshmukh</t>
  </si>
  <si>
    <t>Participated SAE TIFAN 2019 Competition,17-20 March 2019 at MPKV, Rahuri</t>
  </si>
  <si>
    <t>Prof. B.K.Varpe,Dale Akash, Navale Yogita</t>
  </si>
  <si>
    <t>Participated SAE TIFAN 2020 Competition at MPKV, Rahuri Competition not completed</t>
  </si>
  <si>
    <t>Prof. B.K.Varpe,Prashant More</t>
  </si>
  <si>
    <t>134000 +15000=149000</t>
  </si>
  <si>
    <t>Participated SAE Student Formula 2019 competition at Budhha Circuit , Noida, U.P.15-20 July, 2019</t>
  </si>
  <si>
    <t xml:space="preserve">Participated SAE E-Bike 2019 competition at Errode, Tamilnadu
26-29 Sempember,2019
</t>
  </si>
  <si>
    <t>Prof. B.K.Varpe, Rushabh Pipada,Arjun Pawase</t>
  </si>
  <si>
    <t>Participated SAE AERO Design Challenge 2020, 28/02-01/03, 2020 competition at Chennai.</t>
  </si>
  <si>
    <t>Prof. B.K.Varpe,Mohit Dhake ,Ashutosh Kale</t>
  </si>
  <si>
    <t>Electric Two wheeler design challenge</t>
  </si>
  <si>
    <t>Prof. B.K.Varpe, Mayur Mundhe</t>
  </si>
  <si>
    <t>No of Dept.</t>
  </si>
  <si>
    <t>Avg. No. of department for last 5 years</t>
  </si>
  <si>
    <t>1 Year</t>
  </si>
  <si>
    <t>1 year</t>
  </si>
  <si>
    <t>1Year</t>
  </si>
  <si>
    <t>1year</t>
  </si>
  <si>
    <r>
      <t>Participated in Final SAE BAJA 2016 18-21</t>
    </r>
    <r>
      <rPr>
        <vertAlign val="superscript"/>
        <sz val="11"/>
        <rFont val="Calibri"/>
        <family val="2"/>
        <scheme val="minor"/>
      </rPr>
      <t>st</t>
    </r>
    <r>
      <rPr>
        <sz val="11"/>
        <rFont val="Calibri"/>
        <family val="2"/>
        <scheme val="minor"/>
      </rPr>
      <t xml:space="preserve"> February,2016</t>
    </r>
  </si>
  <si>
    <r>
      <t>Participated SAE BAJA 2019 competition at Pitampur, Indore (M.P.), 23</t>
    </r>
    <r>
      <rPr>
        <vertAlign val="superscript"/>
        <sz val="11"/>
        <rFont val="Calibri"/>
        <family val="2"/>
        <scheme val="minor"/>
      </rPr>
      <t>rd</t>
    </r>
    <r>
      <rPr>
        <sz val="11"/>
        <rFont val="Calibri"/>
        <family val="2"/>
        <scheme val="minor"/>
      </rPr>
      <t xml:space="preserve"> – 27</t>
    </r>
    <r>
      <rPr>
        <vertAlign val="superscript"/>
        <sz val="11"/>
        <rFont val="Calibri"/>
        <family val="2"/>
        <scheme val="minor"/>
      </rPr>
      <t>th</t>
    </r>
    <r>
      <rPr>
        <sz val="11"/>
        <rFont val="Calibri"/>
        <family val="2"/>
        <scheme val="minor"/>
      </rPr>
      <t xml:space="preserve"> January,2019</t>
    </r>
  </si>
  <si>
    <r>
      <t>Participated SAE E-BAJA 2019 competition at Pitampur, Indore (M.P.), 23</t>
    </r>
    <r>
      <rPr>
        <vertAlign val="superscript"/>
        <sz val="11"/>
        <rFont val="Calibri"/>
        <family val="2"/>
        <scheme val="minor"/>
      </rPr>
      <t>rd</t>
    </r>
    <r>
      <rPr>
        <sz val="11"/>
        <rFont val="Calibri"/>
        <family val="2"/>
        <scheme val="minor"/>
      </rPr>
      <t xml:space="preserve"> – 27</t>
    </r>
    <r>
      <rPr>
        <vertAlign val="superscript"/>
        <sz val="11"/>
        <rFont val="Calibri"/>
        <family val="2"/>
        <scheme val="minor"/>
      </rPr>
      <t>th</t>
    </r>
    <r>
      <rPr>
        <sz val="11"/>
        <rFont val="Calibri"/>
        <family val="2"/>
        <scheme val="minor"/>
      </rPr>
      <t xml:space="preserve"> January,2019</t>
    </r>
  </si>
  <si>
    <t>INR in Lakhs</t>
  </si>
  <si>
    <t>Grants received from the Inatitute (AVCOE) (INR in LAkhs)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</si>
</sst>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Book Antiqua"/>
      <family val="1"/>
    </font>
    <font>
      <sz val="14"/>
      <color theme="1"/>
      <name val="Book Antiqua"/>
      <family val="1"/>
    </font>
    <font>
      <b/>
      <sz val="12"/>
      <color rgb="FF002060"/>
      <name val="Book Antiqua"/>
      <family val="1"/>
    </font>
    <font>
      <b/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1" xfId="0" applyFont="1" applyBorder="1"/>
    <xf numFmtId="2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2" xfId="0" applyFont="1" applyBorder="1"/>
    <xf numFmtId="0" fontId="0" fillId="0" borderId="1" xfId="0" applyBorder="1"/>
    <xf numFmtId="2" fontId="4" fillId="3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3" fontId="2" fillId="0" borderId="1" xfId="0" applyNumberFormat="1" applyFont="1" applyBorder="1" applyAlignment="1">
      <alignment horizontal="left" vertical="top"/>
    </xf>
    <xf numFmtId="0" fontId="0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wrapText="1"/>
    </xf>
    <xf numFmtId="0" fontId="3" fillId="7" borderId="2" xfId="0" applyFont="1" applyFill="1" applyBorder="1"/>
    <xf numFmtId="0" fontId="3" fillId="7" borderId="1" xfId="0" applyFont="1" applyFill="1" applyBorder="1"/>
    <xf numFmtId="164" fontId="3" fillId="0" borderId="1" xfId="0" applyNumberFormat="1" applyFont="1" applyBorder="1"/>
    <xf numFmtId="0" fontId="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/>
    </xf>
    <xf numFmtId="2" fontId="6" fillId="2" borderId="1" xfId="0" applyNumberFormat="1" applyFont="1" applyFill="1" applyBorder="1" applyAlignment="1">
      <alignment horizontal="right" vertical="top"/>
    </xf>
    <xf numFmtId="2" fontId="6" fillId="2" borderId="1" xfId="0" applyNumberFormat="1" applyFont="1" applyFill="1" applyBorder="1" applyAlignment="1">
      <alignment horizontal="right" vertical="top" wrapText="1"/>
    </xf>
    <xf numFmtId="0" fontId="0" fillId="0" borderId="0" xfId="0" applyFont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2" borderId="0" xfId="0" applyFont="1" applyFill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0" fontId="0" fillId="0" borderId="0" xfId="0" applyFont="1" applyAlignment="1">
      <alignment horizontal="left" vertical="top" wrapText="1"/>
    </xf>
    <xf numFmtId="0" fontId="5" fillId="6" borderId="1" xfId="0" applyFont="1" applyFill="1" applyBorder="1" applyAlignment="1">
      <alignment horizontal="center" vertical="center" wrapText="1" readingOrder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r>
              <a:rPr lang="en-US" sz="1200">
                <a:solidFill>
                  <a:srgbClr val="002060"/>
                </a:solidFill>
              </a:rPr>
              <a:t>Grants received from the Inatitute (AVCOE) </a:t>
            </a:r>
          </a:p>
          <a:p>
            <a:pPr>
              <a:defRPr sz="1200">
                <a:solidFill>
                  <a:srgbClr val="002060"/>
                </a:solidFill>
              </a:defRPr>
            </a:pPr>
            <a:r>
              <a:rPr lang="en-US" sz="1200">
                <a:solidFill>
                  <a:srgbClr val="002060"/>
                </a:solidFill>
              </a:rPr>
              <a:t>(INR in </a:t>
            </a:r>
            <a:r>
              <a:rPr lang="en-US" sz="1200" b="1" i="0" u="none" strike="noStrike" baseline="0">
                <a:effectLst/>
              </a:rPr>
              <a:t>Lacks</a:t>
            </a:r>
            <a:r>
              <a:rPr lang="en-US" sz="1200">
                <a:solidFill>
                  <a:srgbClr val="002060"/>
                </a:solidFill>
              </a:rPr>
              <a:t>)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0"/>
          <c:order val="0"/>
          <c:tx>
            <c:strRef>
              <c:f>'Summary 311'!$C$13</c:f>
              <c:strCache>
                <c:ptCount val="1"/>
                <c:pt idx="0">
                  <c:v>INR in Lakhs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311'!$D$3:$H$3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'Summary 311'!$D$13:$H$13</c:f>
              <c:numCache>
                <c:formatCode>0.000</c:formatCode>
                <c:ptCount val="5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9.6173300000000008</c:v>
                </c:pt>
                <c:pt idx="4">
                  <c:v>6.3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4336128"/>
        <c:axId val="129918464"/>
      </c:barChart>
      <c:catAx>
        <c:axId val="34336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9918464"/>
        <c:crosses val="autoZero"/>
        <c:auto val="1"/>
        <c:lblAlgn val="ctr"/>
        <c:lblOffset val="100"/>
        <c:noMultiLvlLbl val="0"/>
      </c:catAx>
      <c:valAx>
        <c:axId val="1299184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INR in </a:t>
                </a:r>
                <a:r>
                  <a:rPr lang="en-US" sz="1000" b="1" i="0" u="none" strike="noStrike" baseline="0">
                    <a:effectLst/>
                  </a:rPr>
                  <a:t>Lakhs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32198828227040338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343361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Avg. % of  departments having Research projects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'Summary 313'!$C$13</c:f>
              <c:strCache>
                <c:ptCount val="1"/>
                <c:pt idx="0">
                  <c:v>No of Departments having Research projects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gradFill>
                <a:gsLst>
                  <a:gs pos="0">
                    <a:schemeClr val="accent6">
                      <a:lumMod val="75000"/>
                    </a:schemeClr>
                  </a:gs>
                  <a:gs pos="72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dPt>
          <c:dLbls>
            <c:dLbl>
              <c:idx val="5"/>
              <c:spPr>
                <a:gradFill>
                  <a:gsLst>
                    <a:gs pos="0">
                      <a:schemeClr val="accent6">
                        <a:lumMod val="75000"/>
                      </a:schemeClr>
                    </a:gs>
                    <a:gs pos="33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313'!$E$3:$J$3</c:f>
              <c:strCache>
                <c:ptCount val="6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Avg. No. of department for last 5 years</c:v>
                </c:pt>
              </c:strCache>
            </c:strRef>
          </c:cat>
          <c:val>
            <c:numRef>
              <c:f>'Summary 313'!$E$13:$J$13</c:f>
              <c:numCache>
                <c:formatCode>0.000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 formatCode="0.00">
                  <c:v>0.55555555555555558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56458112"/>
        <c:axId val="291366016"/>
      </c:barChart>
      <c:catAx>
        <c:axId val="256458112"/>
        <c:scaling>
          <c:orientation val="minMax"/>
        </c:scaling>
        <c:delete val="0"/>
        <c:axPos val="b"/>
        <c:majorTickMark val="out"/>
        <c:minorTickMark val="none"/>
        <c:tickLblPos val="nextTo"/>
        <c:crossAx val="291366016"/>
        <c:crosses val="autoZero"/>
        <c:auto val="1"/>
        <c:lblAlgn val="ctr"/>
        <c:lblOffset val="100"/>
        <c:noMultiLvlLbl val="0"/>
      </c:catAx>
      <c:valAx>
        <c:axId val="2913660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 of Dept.</a:t>
                </a:r>
              </a:p>
            </c:rich>
          </c:tx>
          <c:layout>
            <c:manualLayout>
              <c:xMode val="edge"/>
              <c:yMode val="edge"/>
              <c:x val="1.9232050590893397E-2"/>
              <c:y val="0.3081288582857095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64581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514350</xdr:colOff>
      <xdr:row>1</xdr:row>
      <xdr:rowOff>15875</xdr:rowOff>
    </xdr:from>
    <xdr:to>
      <xdr:col>16</xdr:col>
      <xdr:colOff>209550</xdr:colOff>
      <xdr:row>13</xdr:row>
      <xdr:rowOff>3175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0</xdr:rowOff>
    </xdr:from>
    <xdr:to>
      <xdr:col>9</xdr:col>
      <xdr:colOff>142875</xdr:colOff>
      <xdr:row>21</xdr:row>
      <xdr:rowOff>104775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905250"/>
          <a:ext cx="4371975" cy="6762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</xdr:pic>
    <xdr:clientData/>
  </xdr:twoCellAnchor>
  <xdr:twoCellAnchor>
    <xdr:from>
      <xdr:col>11</xdr:col>
      <xdr:colOff>123824</xdr:colOff>
      <xdr:row>1</xdr:row>
      <xdr:rowOff>319087</xdr:rowOff>
    </xdr:from>
    <xdr:to>
      <xdr:col>19</xdr:col>
      <xdr:colOff>552449</xdr:colOff>
      <xdr:row>13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opLeftCell="A10" zoomScale="80" zoomScaleNormal="80" workbookViewId="0">
      <selection activeCell="E25" sqref="E25"/>
    </sheetView>
  </sheetViews>
  <sheetFormatPr defaultColWidth="9.1796875" defaultRowHeight="14.5" x14ac:dyDescent="0.35"/>
  <cols>
    <col min="1" max="1" width="6.453125" style="30" bestFit="1" customWidth="1"/>
    <col min="2" max="2" width="22.54296875" style="30" bestFit="1" customWidth="1"/>
    <col min="3" max="3" width="9.81640625" style="16" bestFit="1" customWidth="1"/>
    <col min="4" max="4" width="31.7265625" style="30" customWidth="1"/>
    <col min="5" max="5" width="21.81640625" style="30" customWidth="1"/>
    <col min="6" max="6" width="23" style="30" customWidth="1"/>
    <col min="7" max="7" width="9.453125" style="30" customWidth="1"/>
    <col min="8" max="8" width="9.1796875" style="30"/>
    <col min="9" max="9" width="10.54296875" style="32" bestFit="1" customWidth="1"/>
    <col min="10" max="10" width="8.26953125" style="30" customWidth="1"/>
    <col min="11" max="11" width="15.81640625" style="30" customWidth="1"/>
    <col min="12" max="12" width="16" style="30" customWidth="1"/>
    <col min="13" max="16384" width="9.1796875" style="30"/>
  </cols>
  <sheetData>
    <row r="1" spans="1:24" ht="57.75" customHeight="1" x14ac:dyDescent="0.35">
      <c r="A1" s="11" t="s">
        <v>5</v>
      </c>
      <c r="B1" s="11" t="s">
        <v>6</v>
      </c>
      <c r="C1" s="33" t="s">
        <v>17</v>
      </c>
      <c r="D1" s="11" t="s">
        <v>7</v>
      </c>
      <c r="E1" s="11" t="s">
        <v>8</v>
      </c>
      <c r="F1" s="11" t="s">
        <v>9</v>
      </c>
      <c r="G1" s="11" t="s">
        <v>10</v>
      </c>
      <c r="H1" s="11" t="s">
        <v>11</v>
      </c>
      <c r="I1" s="34" t="s">
        <v>11</v>
      </c>
      <c r="J1" s="11" t="s">
        <v>12</v>
      </c>
      <c r="K1" s="11" t="s">
        <v>13</v>
      </c>
      <c r="L1" s="11" t="s">
        <v>14</v>
      </c>
      <c r="M1" s="11" t="s">
        <v>15</v>
      </c>
      <c r="O1" s="35" t="s">
        <v>16</v>
      </c>
      <c r="P1" s="35"/>
      <c r="Q1" s="35"/>
      <c r="R1" s="35"/>
      <c r="S1" s="35"/>
      <c r="T1" s="35"/>
      <c r="U1" s="35"/>
      <c r="V1" s="35"/>
      <c r="W1" s="35"/>
      <c r="X1" s="35"/>
    </row>
    <row r="2" spans="1:24" ht="35.5" customHeight="1" x14ac:dyDescent="0.35">
      <c r="A2" s="12">
        <v>9</v>
      </c>
      <c r="B2" s="22" t="s">
        <v>2</v>
      </c>
      <c r="C2" s="17" t="s">
        <v>23</v>
      </c>
      <c r="D2" s="22" t="s">
        <v>72</v>
      </c>
      <c r="E2" s="22" t="s">
        <v>35</v>
      </c>
      <c r="F2" s="22" t="s">
        <v>2</v>
      </c>
      <c r="G2" s="12" t="s">
        <v>0</v>
      </c>
      <c r="H2" s="23">
        <v>700000</v>
      </c>
      <c r="I2" s="28">
        <v>700000</v>
      </c>
      <c r="J2" s="14" t="s">
        <v>70</v>
      </c>
      <c r="K2" s="14" t="s">
        <v>36</v>
      </c>
      <c r="L2" s="14" t="s">
        <v>37</v>
      </c>
      <c r="M2" s="12" t="s">
        <v>0</v>
      </c>
    </row>
    <row r="3" spans="1:24" ht="35.5" customHeight="1" x14ac:dyDescent="0.35">
      <c r="A3" s="12">
        <v>10</v>
      </c>
      <c r="B3" s="22" t="s">
        <v>2</v>
      </c>
      <c r="C3" s="17" t="s">
        <v>23</v>
      </c>
      <c r="D3" s="22" t="s">
        <v>38</v>
      </c>
      <c r="E3" s="14" t="s">
        <v>39</v>
      </c>
      <c r="F3" s="22" t="s">
        <v>2</v>
      </c>
      <c r="G3" s="14" t="s">
        <v>1</v>
      </c>
      <c r="H3" s="24">
        <v>100000</v>
      </c>
      <c r="I3" s="29">
        <v>100000</v>
      </c>
      <c r="J3" s="14" t="s">
        <v>71</v>
      </c>
      <c r="K3" s="14" t="s">
        <v>36</v>
      </c>
      <c r="L3" s="14" t="s">
        <v>37</v>
      </c>
      <c r="M3" s="14" t="s">
        <v>1</v>
      </c>
    </row>
    <row r="4" spans="1:24" ht="35.5" customHeight="1" x14ac:dyDescent="0.35">
      <c r="A4" s="12">
        <v>30</v>
      </c>
      <c r="B4" s="12" t="s">
        <v>2</v>
      </c>
      <c r="C4" s="17" t="s">
        <v>23</v>
      </c>
      <c r="D4" s="12" t="s">
        <v>40</v>
      </c>
      <c r="E4" s="25" t="s">
        <v>41</v>
      </c>
      <c r="F4" s="12" t="s">
        <v>2</v>
      </c>
      <c r="G4" s="13" t="s">
        <v>3</v>
      </c>
      <c r="H4" s="13">
        <v>300000</v>
      </c>
      <c r="I4" s="27">
        <v>300000</v>
      </c>
      <c r="J4" s="25" t="s">
        <v>69</v>
      </c>
      <c r="K4" s="25" t="s">
        <v>36</v>
      </c>
      <c r="L4" s="25" t="s">
        <v>37</v>
      </c>
      <c r="M4" s="14" t="s">
        <v>3</v>
      </c>
    </row>
    <row r="5" spans="1:24" ht="35.5" customHeight="1" x14ac:dyDescent="0.35">
      <c r="A5" s="12">
        <v>31</v>
      </c>
      <c r="B5" s="12" t="s">
        <v>2</v>
      </c>
      <c r="C5" s="17" t="s">
        <v>23</v>
      </c>
      <c r="D5" s="12" t="s">
        <v>42</v>
      </c>
      <c r="E5" s="25" t="s">
        <v>43</v>
      </c>
      <c r="F5" s="12" t="s">
        <v>2</v>
      </c>
      <c r="G5" s="13" t="s">
        <v>4</v>
      </c>
      <c r="H5" s="12">
        <v>200000</v>
      </c>
      <c r="I5" s="26">
        <v>200000</v>
      </c>
      <c r="J5" s="25" t="s">
        <v>69</v>
      </c>
      <c r="K5" s="25" t="s">
        <v>36</v>
      </c>
      <c r="L5" s="25" t="s">
        <v>37</v>
      </c>
      <c r="M5" s="13" t="s">
        <v>4</v>
      </c>
    </row>
    <row r="6" spans="1:24" ht="35.5" customHeight="1" x14ac:dyDescent="0.35">
      <c r="A6" s="12">
        <v>32</v>
      </c>
      <c r="B6" s="12" t="s">
        <v>2</v>
      </c>
      <c r="C6" s="17" t="s">
        <v>23</v>
      </c>
      <c r="D6" s="12" t="s">
        <v>73</v>
      </c>
      <c r="E6" s="25" t="s">
        <v>44</v>
      </c>
      <c r="F6" s="12" t="s">
        <v>2</v>
      </c>
      <c r="G6" s="13" t="s">
        <v>4</v>
      </c>
      <c r="H6" s="12">
        <v>100000</v>
      </c>
      <c r="I6" s="26">
        <v>100000</v>
      </c>
      <c r="J6" s="25" t="s">
        <v>69</v>
      </c>
      <c r="K6" s="25" t="s">
        <v>36</v>
      </c>
      <c r="L6" s="25" t="s">
        <v>37</v>
      </c>
      <c r="M6" s="13" t="s">
        <v>4</v>
      </c>
    </row>
    <row r="7" spans="1:24" ht="35.5" customHeight="1" x14ac:dyDescent="0.35">
      <c r="A7" s="12">
        <v>33</v>
      </c>
      <c r="B7" s="12" t="s">
        <v>2</v>
      </c>
      <c r="C7" s="17" t="s">
        <v>23</v>
      </c>
      <c r="D7" s="12" t="s">
        <v>74</v>
      </c>
      <c r="E7" s="25" t="s">
        <v>45</v>
      </c>
      <c r="F7" s="12" t="s">
        <v>2</v>
      </c>
      <c r="G7" s="13" t="s">
        <v>4</v>
      </c>
      <c r="H7" s="12">
        <v>150000</v>
      </c>
      <c r="I7" s="26">
        <v>150000</v>
      </c>
      <c r="J7" s="25" t="s">
        <v>68</v>
      </c>
      <c r="K7" s="25" t="s">
        <v>36</v>
      </c>
      <c r="L7" s="25" t="s">
        <v>37</v>
      </c>
      <c r="M7" s="13" t="s">
        <v>4</v>
      </c>
    </row>
    <row r="8" spans="1:24" ht="35.5" customHeight="1" x14ac:dyDescent="0.35">
      <c r="A8" s="12">
        <v>34</v>
      </c>
      <c r="B8" s="12" t="s">
        <v>2</v>
      </c>
      <c r="C8" s="17" t="s">
        <v>23</v>
      </c>
      <c r="D8" s="12" t="s">
        <v>46</v>
      </c>
      <c r="E8" s="25" t="s">
        <v>47</v>
      </c>
      <c r="F8" s="12" t="s">
        <v>2</v>
      </c>
      <c r="G8" s="13" t="s">
        <v>4</v>
      </c>
      <c r="H8" s="12">
        <v>300000</v>
      </c>
      <c r="I8" s="26">
        <v>300000</v>
      </c>
      <c r="J8" s="25" t="s">
        <v>68</v>
      </c>
      <c r="K8" s="25" t="s">
        <v>36</v>
      </c>
      <c r="L8" s="25" t="s">
        <v>37</v>
      </c>
      <c r="M8" s="13" t="s">
        <v>4</v>
      </c>
      <c r="P8" s="30">
        <v>17034790</v>
      </c>
    </row>
    <row r="9" spans="1:24" ht="35.5" customHeight="1" x14ac:dyDescent="0.35">
      <c r="A9" s="12">
        <v>35</v>
      </c>
      <c r="B9" s="12" t="s">
        <v>2</v>
      </c>
      <c r="C9" s="17" t="s">
        <v>23</v>
      </c>
      <c r="D9" s="12" t="s">
        <v>48</v>
      </c>
      <c r="E9" s="25" t="s">
        <v>49</v>
      </c>
      <c r="F9" s="12" t="s">
        <v>2</v>
      </c>
      <c r="G9" s="13" t="s">
        <v>4</v>
      </c>
      <c r="H9" s="12">
        <v>60000</v>
      </c>
      <c r="I9" s="26">
        <v>60000</v>
      </c>
      <c r="J9" s="25" t="s">
        <v>68</v>
      </c>
      <c r="K9" s="25" t="s">
        <v>36</v>
      </c>
      <c r="L9" s="25" t="s">
        <v>37</v>
      </c>
      <c r="M9" s="13" t="s">
        <v>4</v>
      </c>
    </row>
    <row r="10" spans="1:24" ht="35.5" customHeight="1" x14ac:dyDescent="0.35">
      <c r="A10" s="12">
        <v>36</v>
      </c>
      <c r="B10" s="12" t="s">
        <v>2</v>
      </c>
      <c r="C10" s="17" t="s">
        <v>23</v>
      </c>
      <c r="D10" s="12" t="s">
        <v>50</v>
      </c>
      <c r="E10" s="13" t="s">
        <v>51</v>
      </c>
      <c r="F10" s="12" t="s">
        <v>2</v>
      </c>
      <c r="G10" s="13" t="s">
        <v>4</v>
      </c>
      <c r="H10" s="12">
        <v>31166</v>
      </c>
      <c r="I10" s="26">
        <v>31166</v>
      </c>
      <c r="J10" s="13" t="s">
        <v>68</v>
      </c>
      <c r="K10" s="25" t="s">
        <v>36</v>
      </c>
      <c r="L10" s="25" t="s">
        <v>37</v>
      </c>
      <c r="M10" s="13" t="s">
        <v>4</v>
      </c>
    </row>
    <row r="11" spans="1:24" ht="35.5" customHeight="1" x14ac:dyDescent="0.35">
      <c r="A11" s="12">
        <v>37</v>
      </c>
      <c r="B11" s="12" t="s">
        <v>2</v>
      </c>
      <c r="C11" s="17" t="s">
        <v>23</v>
      </c>
      <c r="D11" s="12" t="s">
        <v>52</v>
      </c>
      <c r="E11" s="13" t="s">
        <v>53</v>
      </c>
      <c r="F11" s="12" t="s">
        <v>2</v>
      </c>
      <c r="G11" s="13" t="s">
        <v>4</v>
      </c>
      <c r="H11" s="12">
        <v>10567</v>
      </c>
      <c r="I11" s="26">
        <v>10567</v>
      </c>
      <c r="J11" s="13" t="s">
        <v>68</v>
      </c>
      <c r="K11" s="25" t="s">
        <v>36</v>
      </c>
      <c r="L11" s="25" t="s">
        <v>37</v>
      </c>
      <c r="M11" s="13" t="s">
        <v>4</v>
      </c>
    </row>
    <row r="12" spans="1:24" ht="35.5" customHeight="1" x14ac:dyDescent="0.35">
      <c r="A12" s="12">
        <v>38</v>
      </c>
      <c r="B12" s="12" t="s">
        <v>2</v>
      </c>
      <c r="C12" s="17" t="s">
        <v>23</v>
      </c>
      <c r="D12" s="12" t="s">
        <v>54</v>
      </c>
      <c r="E12" s="25" t="s">
        <v>55</v>
      </c>
      <c r="F12" s="12" t="s">
        <v>2</v>
      </c>
      <c r="G12" s="13" t="s">
        <v>4</v>
      </c>
      <c r="H12" s="12">
        <v>110000</v>
      </c>
      <c r="I12" s="26">
        <v>110000</v>
      </c>
      <c r="J12" s="25" t="s">
        <v>68</v>
      </c>
      <c r="K12" s="25" t="s">
        <v>36</v>
      </c>
      <c r="L12" s="25" t="s">
        <v>37</v>
      </c>
      <c r="M12" s="13" t="s">
        <v>4</v>
      </c>
    </row>
    <row r="13" spans="1:24" ht="35.5" customHeight="1" x14ac:dyDescent="0.35">
      <c r="A13" s="12">
        <v>47</v>
      </c>
      <c r="B13" s="12" t="s">
        <v>2</v>
      </c>
      <c r="C13" s="17" t="s">
        <v>23</v>
      </c>
      <c r="D13" s="12" t="s">
        <v>56</v>
      </c>
      <c r="E13" s="13" t="s">
        <v>57</v>
      </c>
      <c r="F13" s="12" t="s">
        <v>2</v>
      </c>
      <c r="G13" s="13" t="s">
        <v>25</v>
      </c>
      <c r="H13" s="12" t="s">
        <v>58</v>
      </c>
      <c r="I13" s="26">
        <v>149000</v>
      </c>
      <c r="J13" s="13" t="s">
        <v>68</v>
      </c>
      <c r="K13" s="25" t="s">
        <v>36</v>
      </c>
      <c r="L13" s="25" t="s">
        <v>37</v>
      </c>
      <c r="M13" s="31" t="s">
        <v>25</v>
      </c>
    </row>
    <row r="14" spans="1:24" ht="35.5" customHeight="1" x14ac:dyDescent="0.35">
      <c r="A14" s="12">
        <v>48</v>
      </c>
      <c r="B14" s="12" t="s">
        <v>2</v>
      </c>
      <c r="C14" s="17" t="s">
        <v>23</v>
      </c>
      <c r="D14" s="12" t="s">
        <v>59</v>
      </c>
      <c r="E14" s="13" t="s">
        <v>47</v>
      </c>
      <c r="F14" s="12" t="s">
        <v>2</v>
      </c>
      <c r="G14" s="13" t="s">
        <v>25</v>
      </c>
      <c r="H14" s="12">
        <v>300000</v>
      </c>
      <c r="I14" s="26">
        <v>300000</v>
      </c>
      <c r="J14" s="13" t="s">
        <v>68</v>
      </c>
      <c r="K14" s="25" t="s">
        <v>36</v>
      </c>
      <c r="L14" s="25" t="s">
        <v>37</v>
      </c>
      <c r="M14" s="31" t="s">
        <v>25</v>
      </c>
    </row>
    <row r="15" spans="1:24" ht="35.5" customHeight="1" x14ac:dyDescent="0.35">
      <c r="A15" s="12">
        <v>49</v>
      </c>
      <c r="B15" s="12" t="s">
        <v>2</v>
      </c>
      <c r="C15" s="17" t="s">
        <v>23</v>
      </c>
      <c r="D15" s="12" t="s">
        <v>60</v>
      </c>
      <c r="E15" s="13" t="s">
        <v>61</v>
      </c>
      <c r="F15" s="12" t="s">
        <v>2</v>
      </c>
      <c r="G15" s="13" t="s">
        <v>25</v>
      </c>
      <c r="H15" s="12">
        <v>68000</v>
      </c>
      <c r="I15" s="26">
        <v>68000</v>
      </c>
      <c r="J15" s="13" t="s">
        <v>68</v>
      </c>
      <c r="K15" s="25" t="s">
        <v>36</v>
      </c>
      <c r="L15" s="25" t="s">
        <v>37</v>
      </c>
      <c r="M15" s="31" t="s">
        <v>25</v>
      </c>
    </row>
    <row r="16" spans="1:24" ht="35.5" customHeight="1" x14ac:dyDescent="0.35">
      <c r="A16" s="12">
        <v>50</v>
      </c>
      <c r="B16" s="12" t="s">
        <v>2</v>
      </c>
      <c r="C16" s="17" t="s">
        <v>23</v>
      </c>
      <c r="D16" s="12" t="s">
        <v>62</v>
      </c>
      <c r="E16" s="13" t="s">
        <v>63</v>
      </c>
      <c r="F16" s="12" t="s">
        <v>2</v>
      </c>
      <c r="G16" s="13" t="s">
        <v>25</v>
      </c>
      <c r="H16" s="12">
        <v>45000</v>
      </c>
      <c r="I16" s="26">
        <v>45000</v>
      </c>
      <c r="J16" s="13" t="s">
        <v>68</v>
      </c>
      <c r="K16" s="25" t="s">
        <v>36</v>
      </c>
      <c r="L16" s="25" t="s">
        <v>37</v>
      </c>
      <c r="M16" s="31" t="s">
        <v>25</v>
      </c>
    </row>
    <row r="17" spans="1:13" ht="35.5" customHeight="1" x14ac:dyDescent="0.35">
      <c r="A17" s="12">
        <v>51</v>
      </c>
      <c r="B17" s="12" t="s">
        <v>2</v>
      </c>
      <c r="C17" s="17" t="s">
        <v>23</v>
      </c>
      <c r="D17" s="12" t="s">
        <v>64</v>
      </c>
      <c r="E17" s="13" t="s">
        <v>65</v>
      </c>
      <c r="F17" s="12" t="s">
        <v>2</v>
      </c>
      <c r="G17" s="13" t="s">
        <v>25</v>
      </c>
      <c r="H17" s="15">
        <v>68000</v>
      </c>
      <c r="I17" s="27">
        <v>68000</v>
      </c>
      <c r="J17" s="13" t="s">
        <v>68</v>
      </c>
      <c r="K17" s="13" t="s">
        <v>36</v>
      </c>
      <c r="L17" s="13" t="s">
        <v>37</v>
      </c>
      <c r="M17" s="31" t="s">
        <v>25</v>
      </c>
    </row>
  </sheetData>
  <mergeCells count="1">
    <mergeCell ref="O1:X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tabSelected="1" workbookViewId="0">
      <selection activeCell="H17" sqref="H17"/>
    </sheetView>
  </sheetViews>
  <sheetFormatPr defaultRowHeight="14.5" x14ac:dyDescent="0.35"/>
  <sheetData>
    <row r="2" spans="2:8" ht="36" customHeight="1" x14ac:dyDescent="0.35">
      <c r="C2" s="36" t="s">
        <v>76</v>
      </c>
      <c r="D2" s="36"/>
      <c r="E2" s="36"/>
      <c r="F2" s="36"/>
      <c r="G2" s="36"/>
      <c r="H2" s="36"/>
    </row>
    <row r="3" spans="2:8" ht="15.75" x14ac:dyDescent="0.25">
      <c r="C3" s="1"/>
      <c r="D3" s="20" t="s">
        <v>0</v>
      </c>
      <c r="E3" s="20" t="s">
        <v>1</v>
      </c>
      <c r="F3" s="20" t="s">
        <v>3</v>
      </c>
      <c r="G3" s="20" t="s">
        <v>4</v>
      </c>
      <c r="H3" s="20" t="s">
        <v>25</v>
      </c>
    </row>
    <row r="4" spans="2:8" ht="15.75" x14ac:dyDescent="0.25">
      <c r="B4" t="s">
        <v>18</v>
      </c>
      <c r="C4" s="20" t="s">
        <v>26</v>
      </c>
      <c r="D4" s="21">
        <f>SUMIFS('311&amp;313'!$I:$I, '311&amp;313'!$C:$C, "CE", '311&amp;313'!$M:$M, "2015-16")/100000</f>
        <v>0</v>
      </c>
      <c r="E4" s="21">
        <f>SUMIFS('311&amp;313'!$I:$I, '311&amp;313'!$C:$C, "CE", '311&amp;313'!$M:$M, "2016-17")/100000</f>
        <v>0</v>
      </c>
      <c r="F4" s="21">
        <f>SUMIFS('311&amp;313'!$I:$I, '311&amp;313'!$C:$C, "CE", '311&amp;313'!$M:$M, "2017-18")/100000</f>
        <v>0</v>
      </c>
      <c r="G4" s="21">
        <f>SUMIFS('311&amp;313'!$I:$I, '311&amp;313'!$C:$C, "CE", '311&amp;313'!$M:$M, "2018-19")/100000</f>
        <v>0</v>
      </c>
      <c r="H4" s="21">
        <f>SUMIFS('311&amp;313'!$I:$I, '311&amp;313'!$C:$C, "CE", '311&amp;313'!$M:$M, "2019-20")/100000</f>
        <v>0</v>
      </c>
    </row>
    <row r="5" spans="2:8" ht="15.75" x14ac:dyDescent="0.25">
      <c r="B5" t="s">
        <v>19</v>
      </c>
      <c r="C5" s="20" t="s">
        <v>19</v>
      </c>
      <c r="D5" s="21">
        <f>SUMIFS('311&amp;313'!$I:$I, '311&amp;313'!$C:$C, "Comp", '311&amp;313'!$M:$M, "2015-16")/100000</f>
        <v>0</v>
      </c>
      <c r="E5" s="21">
        <f>SUMIFS('311&amp;313'!$I:$I, '311&amp;313'!$C:$C, "Comp", '311&amp;313'!$M:$M, "2016-17")/100000</f>
        <v>0</v>
      </c>
      <c r="F5" s="21">
        <f>SUMIFS('311&amp;313'!$I:$I, '311&amp;313'!$C:$C, "Comp", '311&amp;313'!$M:$M, "2017-18")/100000</f>
        <v>0</v>
      </c>
      <c r="G5" s="21">
        <f>SUMIFS('311&amp;313'!$I:$I, '311&amp;313'!$C:$C, "Comp", '311&amp;313'!$M:$M, "2018-19")/100000</f>
        <v>0</v>
      </c>
      <c r="H5" s="21">
        <f>SUMIFS('311&amp;313'!$I:$I, '311&amp;313'!$C:$C, "Comp", '311&amp;313'!$M:$M, "2019-20")/100000</f>
        <v>0</v>
      </c>
    </row>
    <row r="6" spans="2:8" ht="15.75" x14ac:dyDescent="0.25">
      <c r="B6" t="s">
        <v>20</v>
      </c>
      <c r="C6" s="20" t="s">
        <v>27</v>
      </c>
      <c r="D6" s="21">
        <f>SUMIFS('311&amp;313'!$I:$I, '311&amp;313'!$C:$C, "EE", '311&amp;313'!$M:$M, "2015-16")/100000</f>
        <v>0</v>
      </c>
      <c r="E6" s="21">
        <f>SUMIFS('311&amp;313'!$I:$I, '311&amp;313'!$C:$C, "EE", '311&amp;313'!$M:$M, "2016-17")/100000</f>
        <v>0</v>
      </c>
      <c r="F6" s="21">
        <f>SUMIFS('311&amp;313'!$I:$I, '311&amp;313'!$C:$C, "EE", '311&amp;313'!$M:$M, "2017-18")/100000</f>
        <v>0</v>
      </c>
      <c r="G6" s="21">
        <f>SUMIFS('311&amp;313'!$I:$I, '311&amp;313'!$C:$C, "EE", '311&amp;313'!$M:$M, "2018-19")/100000</f>
        <v>0</v>
      </c>
      <c r="H6" s="21">
        <f>SUMIFS('311&amp;313'!$I:$I, '311&amp;313'!$C:$C, "EE", '311&amp;313'!$M:$M, "2019-20")/100000</f>
        <v>0</v>
      </c>
    </row>
    <row r="7" spans="2:8" ht="15.75" x14ac:dyDescent="0.25">
      <c r="B7" t="s">
        <v>28</v>
      </c>
      <c r="C7" s="20" t="s">
        <v>28</v>
      </c>
      <c r="D7" s="21">
        <f>SUMIFS('311&amp;313'!$I:$I, '311&amp;313'!$C:$C, "eLEX", '311&amp;313'!$M:$M, "2015-16")/100000</f>
        <v>0</v>
      </c>
      <c r="E7" s="21">
        <f>SUMIFS('311&amp;313'!$I:$I, '311&amp;313'!$C:$C, "eLEX", '311&amp;313'!$M:$M, "2016-17")/100000</f>
        <v>0</v>
      </c>
      <c r="F7" s="21">
        <f>SUMIFS('311&amp;313'!$I:$I, '311&amp;313'!$C:$C, "eLEX", '311&amp;313'!$M:$M, "2017-18")/100000</f>
        <v>0</v>
      </c>
      <c r="G7" s="21">
        <f>SUMIFS('311&amp;313'!$I:$I, '311&amp;313'!$C:$C, "eLEX", '311&amp;313'!$M:$M, "2018-19")/100000</f>
        <v>0</v>
      </c>
      <c r="H7" s="21">
        <f>SUMIFS('311&amp;313'!$I:$I, '311&amp;313'!$C:$C, "eLEX", '311&amp;313'!$M:$M, "2019-20")/100000</f>
        <v>0</v>
      </c>
    </row>
    <row r="8" spans="2:8" ht="15.75" x14ac:dyDescent="0.25">
      <c r="B8" t="s">
        <v>21</v>
      </c>
      <c r="C8" s="20" t="s">
        <v>21</v>
      </c>
      <c r="D8" s="21">
        <f>SUMIFS('311&amp;313'!$I:$I, '311&amp;313'!$C:$C, "ETC", '311&amp;313'!$M:$M, "2015-16")/100000</f>
        <v>0</v>
      </c>
      <c r="E8" s="21">
        <f>SUMIFS('311&amp;313'!$I:$I, '311&amp;313'!$C:$C, "ETC", '311&amp;313'!$M:$M, "2016-17")/100000</f>
        <v>0</v>
      </c>
      <c r="F8" s="21">
        <f>SUMIFS('311&amp;313'!$I:$I, '311&amp;313'!$C:$C, "ETC", '311&amp;313'!$M:$M, "2017-18")/100000</f>
        <v>0</v>
      </c>
      <c r="G8" s="21">
        <f>SUMIFS('311&amp;313'!$I:$I, '311&amp;313'!$C:$C, "ETC", '311&amp;313'!$M:$M, "2018-19")/100000</f>
        <v>0</v>
      </c>
      <c r="H8" s="21">
        <f>SUMIFS('311&amp;313'!$I:$I, '311&amp;313'!$C:$C, "ETC", '311&amp;313'!$M:$M, "2019-20")/100000</f>
        <v>0</v>
      </c>
    </row>
    <row r="9" spans="2:8" ht="15.75" x14ac:dyDescent="0.25">
      <c r="B9" t="s">
        <v>22</v>
      </c>
      <c r="C9" s="20" t="s">
        <v>22</v>
      </c>
      <c r="D9" s="21">
        <f>SUMIFS('311&amp;313'!$I:$I, '311&amp;313'!$C:$C, "IT", '311&amp;313'!$M:$M, "2015-16")/100000</f>
        <v>0</v>
      </c>
      <c r="E9" s="21">
        <f>SUMIFS('311&amp;313'!$I:$I, '311&amp;313'!$C:$C, "IT", '311&amp;313'!$M:$M, "2016-17")/100000</f>
        <v>0</v>
      </c>
      <c r="F9" s="21">
        <f>SUMIFS('311&amp;313'!$I:$I, '311&amp;313'!$C:$C, "IT", '311&amp;313'!$M:$M, "2017-18")/100000</f>
        <v>0</v>
      </c>
      <c r="G9" s="21">
        <f>SUMIFS('311&amp;313'!$I:$I, '311&amp;313'!$C:$C, "IT", '311&amp;313'!$M:$M, "2018-19")/100000</f>
        <v>0</v>
      </c>
      <c r="H9" s="21">
        <f>SUMIFS('311&amp;313'!$I:$I, '311&amp;313'!$C:$C, "IT", '311&amp;313'!$M:$M, "2019-20")/100000</f>
        <v>0</v>
      </c>
    </row>
    <row r="10" spans="2:8" ht="15.75" x14ac:dyDescent="0.25">
      <c r="B10" t="s">
        <v>23</v>
      </c>
      <c r="C10" s="20" t="s">
        <v>29</v>
      </c>
      <c r="D10" s="21">
        <f>SUMIFS('311&amp;313'!$I:$I, '311&amp;313'!$C:$C, "ME", '311&amp;313'!$M:$M, "2015-16")/100000</f>
        <v>7</v>
      </c>
      <c r="E10" s="21">
        <f>SUMIFS('311&amp;313'!$I:$I, '311&amp;313'!$C:$C, "ME", '311&amp;313'!$M:$M, "2016-17")/100000</f>
        <v>1</v>
      </c>
      <c r="F10" s="21">
        <f>SUMIFS('311&amp;313'!$I:$I, '311&amp;313'!$C:$C, "ME", '311&amp;313'!$M:$M, "2017-18")/100000</f>
        <v>3</v>
      </c>
      <c r="G10" s="21">
        <f>SUMIFS('311&amp;313'!$I:$I, '311&amp;313'!$C:$C, "ME", '311&amp;313'!$M:$M, "2018-19")/100000</f>
        <v>9.6173300000000008</v>
      </c>
      <c r="H10" s="21">
        <f>SUMIFS('311&amp;313'!$I:$I, '311&amp;313'!$C:$C, "ME", '311&amp;313'!$M:$M, "2019-20")/100000</f>
        <v>6.3</v>
      </c>
    </row>
    <row r="11" spans="2:8" ht="15.75" x14ac:dyDescent="0.25">
      <c r="B11" t="s">
        <v>24</v>
      </c>
      <c r="C11" s="20" t="s">
        <v>30</v>
      </c>
      <c r="D11" s="21">
        <f>SUMIFS('311&amp;313'!$I:$I, '311&amp;313'!$C:$C, "PE", '311&amp;313'!$M:$M, "2015-16")/100000</f>
        <v>0</v>
      </c>
      <c r="E11" s="21">
        <f>SUMIFS('311&amp;313'!$I:$I, '311&amp;313'!$C:$C, "PE", '311&amp;313'!$M:$M, "2016-17")/100000</f>
        <v>0</v>
      </c>
      <c r="F11" s="21">
        <f>SUMIFS('311&amp;313'!$I:$I, '311&amp;313'!$C:$C, "PE", '311&amp;313'!$M:$M, "2017-18")/100000</f>
        <v>0</v>
      </c>
      <c r="G11" s="21">
        <f>SUMIFS('311&amp;313'!$I:$I, '311&amp;313'!$C:$C, "PE", '311&amp;313'!$M:$M, "2018-19")/100000</f>
        <v>0</v>
      </c>
      <c r="H11" s="21">
        <f>SUMIFS('311&amp;313'!$I:$I, '311&amp;313'!$C:$C, "PE", '311&amp;313'!$M:$M, "2019-20")/100000</f>
        <v>0</v>
      </c>
    </row>
    <row r="12" spans="2:8" ht="15.75" x14ac:dyDescent="0.25">
      <c r="B12" t="s">
        <v>31</v>
      </c>
      <c r="C12" s="20" t="s">
        <v>31</v>
      </c>
      <c r="D12" s="21">
        <f>SUMIFS('311&amp;313'!$I:$I, '311&amp;313'!$C:$C, "MBA", '311&amp;313'!$M:$M, "2015-16")/100000</f>
        <v>0</v>
      </c>
      <c r="E12" s="21">
        <f>SUMIFS('311&amp;313'!$I:$I, '311&amp;313'!$C:$C, "MBA", '311&amp;313'!$M:$M, "2016-17")/100000</f>
        <v>0</v>
      </c>
      <c r="F12" s="21">
        <f>SUMIFS('311&amp;313'!$I:$I, '311&amp;313'!$C:$C, "MBA", '311&amp;313'!$M:$M, "2017-18")/100000</f>
        <v>0</v>
      </c>
      <c r="G12" s="21">
        <f>SUMIFS('311&amp;313'!$I:$I, '311&amp;313'!$C:$C, "MBA", '311&amp;313'!$M:$M, "2018-19")/100000</f>
        <v>0</v>
      </c>
      <c r="H12" s="21">
        <f>SUMIFS('311&amp;313'!$I:$I, '311&amp;313'!$C:$C, "MBA", '311&amp;313'!$M:$M, "2019-20")/100000</f>
        <v>0</v>
      </c>
    </row>
    <row r="13" spans="2:8" ht="21" customHeight="1" x14ac:dyDescent="0.25">
      <c r="B13" t="s">
        <v>32</v>
      </c>
      <c r="C13" s="9" t="s">
        <v>75</v>
      </c>
      <c r="D13" s="10">
        <f>SUM(D4:D12)</f>
        <v>7</v>
      </c>
      <c r="E13" s="10">
        <f>SUM(E4:E12)</f>
        <v>1</v>
      </c>
      <c r="F13" s="10">
        <f>SUM(F4:F12)</f>
        <v>3</v>
      </c>
      <c r="G13" s="10">
        <f>SUM(G4:G12)</f>
        <v>9.6173300000000008</v>
      </c>
      <c r="H13" s="10">
        <f>SUM(H4:H12)</f>
        <v>6.3</v>
      </c>
    </row>
  </sheetData>
  <mergeCells count="1">
    <mergeCell ref="C2:H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zoomScale="90" zoomScaleNormal="90" workbookViewId="0">
      <selection activeCell="C2" sqref="C2:J13"/>
    </sheetView>
  </sheetViews>
  <sheetFormatPr defaultRowHeight="14.5" x14ac:dyDescent="0.35"/>
  <cols>
    <col min="3" max="3" width="14.7265625" customWidth="1"/>
    <col min="4" max="4" width="9.1796875" customWidth="1"/>
    <col min="10" max="10" width="13.54296875" customWidth="1"/>
  </cols>
  <sheetData>
    <row r="2" spans="2:10" ht="35" customHeight="1" x14ac:dyDescent="0.35">
      <c r="C2" s="37" t="s">
        <v>34</v>
      </c>
      <c r="D2" s="38"/>
      <c r="E2" s="38"/>
      <c r="F2" s="38"/>
      <c r="G2" s="38"/>
      <c r="H2" s="38"/>
      <c r="I2" s="38"/>
      <c r="J2" s="39"/>
    </row>
    <row r="3" spans="2:10" ht="29.5" customHeight="1" x14ac:dyDescent="0.35">
      <c r="C3" s="4"/>
      <c r="D3" s="18" t="s">
        <v>66</v>
      </c>
      <c r="E3" s="19" t="s">
        <v>0</v>
      </c>
      <c r="F3" s="19" t="s">
        <v>1</v>
      </c>
      <c r="G3" s="19" t="s">
        <v>3</v>
      </c>
      <c r="H3" s="19" t="s">
        <v>4</v>
      </c>
      <c r="I3" s="19" t="s">
        <v>25</v>
      </c>
      <c r="J3" s="40" t="s">
        <v>67</v>
      </c>
    </row>
    <row r="4" spans="2:10" ht="15.5" x14ac:dyDescent="0.35">
      <c r="B4" t="s">
        <v>18</v>
      </c>
      <c r="C4" s="20" t="s">
        <v>26</v>
      </c>
      <c r="D4" s="5">
        <v>1</v>
      </c>
      <c r="E4" s="2">
        <f>SUMIFS('311&amp;313'!$I:$I, '311&amp;313'!$C:$C, "CE", '311&amp;313'!$M:$M, "2015-16")/100000</f>
        <v>0</v>
      </c>
      <c r="F4" s="2">
        <f>SUMIFS('311&amp;313'!$I:$I, '311&amp;313'!$C:$C, "CE", '311&amp;313'!$M:$M, "2016-17")/100000</f>
        <v>0</v>
      </c>
      <c r="G4" s="2">
        <f>SUMIFS('311&amp;313'!$I:$I, '311&amp;313'!$C:$C, "CE", '311&amp;313'!$M:$M, "2017-18")/100000</f>
        <v>0</v>
      </c>
      <c r="H4" s="2">
        <f>SUMIFS('311&amp;313'!$I:$I, '311&amp;313'!$C:$C, "CE", '311&amp;313'!$M:$M, "2018-19")/100000</f>
        <v>0</v>
      </c>
      <c r="I4" s="2">
        <f>SUMIFS('311&amp;313'!$I:$I, '311&amp;313'!$C:$C, "CE", '311&amp;313'!$M:$M, "2019-20")/100000</f>
        <v>0</v>
      </c>
      <c r="J4" s="41"/>
    </row>
    <row r="5" spans="2:10" ht="15.5" x14ac:dyDescent="0.35">
      <c r="B5" t="s">
        <v>19</v>
      </c>
      <c r="C5" s="20" t="s">
        <v>19</v>
      </c>
      <c r="D5" s="5">
        <v>2</v>
      </c>
      <c r="E5" s="2">
        <f>SUMIFS('311&amp;313'!$I:$I, '311&amp;313'!$C:$C, "Comp", '311&amp;313'!$M:$M, "2015-16")/100000</f>
        <v>0</v>
      </c>
      <c r="F5" s="2">
        <f>SUMIFS('311&amp;313'!$I:$I, '311&amp;313'!$C:$C, "Comp", '311&amp;313'!$M:$M, "2016-17")/100000</f>
        <v>0</v>
      </c>
      <c r="G5" s="2">
        <f>SUMIFS('311&amp;313'!$I:$I, '311&amp;313'!$C:$C, "Comp", '311&amp;313'!$M:$M, "2017-18")/100000</f>
        <v>0</v>
      </c>
      <c r="H5" s="2">
        <f>SUMIFS('311&amp;313'!$I:$I, '311&amp;313'!$C:$C, "Comp", '311&amp;313'!$M:$M, "2018-19")/100000</f>
        <v>0</v>
      </c>
      <c r="I5" s="2">
        <f>SUMIFS('311&amp;313'!$I:$I, '311&amp;313'!$C:$C, "Comp", '311&amp;313'!$M:$M, "2019-20")/100000</f>
        <v>0</v>
      </c>
      <c r="J5" s="41"/>
    </row>
    <row r="6" spans="2:10" ht="15.5" x14ac:dyDescent="0.35">
      <c r="B6" t="s">
        <v>20</v>
      </c>
      <c r="C6" s="20" t="s">
        <v>27</v>
      </c>
      <c r="D6" s="5">
        <v>3</v>
      </c>
      <c r="E6" s="2">
        <f>SUMIFS('311&amp;313'!$I:$I, '311&amp;313'!$C:$C, "EE", '311&amp;313'!$M:$M, "2015-16")/100000</f>
        <v>0</v>
      </c>
      <c r="F6" s="2">
        <f>SUMIFS('311&amp;313'!$I:$I, '311&amp;313'!$C:$C, "EE", '311&amp;313'!$M:$M, "2016-17")/100000</f>
        <v>0</v>
      </c>
      <c r="G6" s="2">
        <f>SUMIFS('311&amp;313'!$I:$I, '311&amp;313'!$C:$C, "EE", '311&amp;313'!$M:$M, "2017-18")/100000</f>
        <v>0</v>
      </c>
      <c r="H6" s="2">
        <f>SUMIFS('311&amp;313'!$I:$I, '311&amp;313'!$C:$C, "EE", '311&amp;313'!$M:$M, "2018-19")/100000</f>
        <v>0</v>
      </c>
      <c r="I6" s="2">
        <f>SUMIFS('311&amp;313'!$I:$I, '311&amp;313'!$C:$C, "EE", '311&amp;313'!$M:$M, "2019-20")/100000</f>
        <v>0</v>
      </c>
      <c r="J6" s="41"/>
    </row>
    <row r="7" spans="2:10" ht="15.5" x14ac:dyDescent="0.35">
      <c r="B7" t="s">
        <v>28</v>
      </c>
      <c r="C7" s="20" t="s">
        <v>28</v>
      </c>
      <c r="D7" s="5">
        <v>4</v>
      </c>
      <c r="E7" s="2">
        <f>SUMIFS('311&amp;313'!$I:$I, '311&amp;313'!$C:$C, "eLEX", '311&amp;313'!$M:$M, "2015-16")/100000</f>
        <v>0</v>
      </c>
      <c r="F7" s="2">
        <f>SUMIFS('311&amp;313'!$I:$I, '311&amp;313'!$C:$C, "eLEX", '311&amp;313'!$M:$M, "2016-17")/100000</f>
        <v>0</v>
      </c>
      <c r="G7" s="2">
        <f>SUMIFS('311&amp;313'!$I:$I, '311&amp;313'!$C:$C, "eLEX", '311&amp;313'!$M:$M, "2017-18")/100000</f>
        <v>0</v>
      </c>
      <c r="H7" s="2">
        <f>SUMIFS('311&amp;313'!$I:$I, '311&amp;313'!$C:$C, "eLEX", '311&amp;313'!$M:$M, "2018-19")/100000</f>
        <v>0</v>
      </c>
      <c r="I7" s="2">
        <f>SUMIFS('311&amp;313'!$I:$I, '311&amp;313'!$C:$C, "eLEX", '311&amp;313'!$M:$M, "2019-20")/100000</f>
        <v>0</v>
      </c>
      <c r="J7" s="41"/>
    </row>
    <row r="8" spans="2:10" ht="15.5" x14ac:dyDescent="0.35">
      <c r="B8" t="s">
        <v>21</v>
      </c>
      <c r="C8" s="20" t="s">
        <v>21</v>
      </c>
      <c r="D8" s="5">
        <v>5</v>
      </c>
      <c r="E8" s="2">
        <f>SUMIFS('311&amp;313'!$I:$I, '311&amp;313'!$C:$C, "ETC", '311&amp;313'!$M:$M, "2015-16")/100000</f>
        <v>0</v>
      </c>
      <c r="F8" s="2">
        <f>SUMIFS('311&amp;313'!$I:$I, '311&amp;313'!$C:$C, "ETC", '311&amp;313'!$M:$M, "2016-17")/100000</f>
        <v>0</v>
      </c>
      <c r="G8" s="2">
        <f>SUMIFS('311&amp;313'!$I:$I, '311&amp;313'!$C:$C, "ETC", '311&amp;313'!$M:$M, "2017-18")/100000</f>
        <v>0</v>
      </c>
      <c r="H8" s="2">
        <f>SUMIFS('311&amp;313'!$I:$I, '311&amp;313'!$C:$C, "ETC", '311&amp;313'!$M:$M, "2018-19")/100000</f>
        <v>0</v>
      </c>
      <c r="I8" s="2">
        <f>SUMIFS('311&amp;313'!$I:$I, '311&amp;313'!$C:$C, "ETC", '311&amp;313'!$M:$M, "2019-20")/100000</f>
        <v>0</v>
      </c>
      <c r="J8" s="41"/>
    </row>
    <row r="9" spans="2:10" ht="15.5" x14ac:dyDescent="0.35">
      <c r="B9" t="s">
        <v>22</v>
      </c>
      <c r="C9" s="20" t="s">
        <v>22</v>
      </c>
      <c r="D9" s="5">
        <v>6</v>
      </c>
      <c r="E9" s="2">
        <f>SUMIFS('311&amp;313'!$I:$I, '311&amp;313'!$C:$C, "IT", '311&amp;313'!$M:$M, "2015-16")/100000</f>
        <v>0</v>
      </c>
      <c r="F9" s="2">
        <f>SUMIFS('311&amp;313'!$I:$I, '311&amp;313'!$C:$C, "IT", '311&amp;313'!$M:$M, "2016-17")/100000</f>
        <v>0</v>
      </c>
      <c r="G9" s="2">
        <f>SUMIFS('311&amp;313'!$I:$I, '311&amp;313'!$C:$C, "IT", '311&amp;313'!$M:$M, "2017-18")/100000</f>
        <v>0</v>
      </c>
      <c r="H9" s="2">
        <f>SUMIFS('311&amp;313'!$I:$I, '311&amp;313'!$C:$C, "IT", '311&amp;313'!$M:$M, "2018-19")/100000</f>
        <v>0</v>
      </c>
      <c r="I9" s="2">
        <f>SUMIFS('311&amp;313'!$I:$I, '311&amp;313'!$C:$C, "IT", '311&amp;313'!$M:$M, "2019-20")/100000</f>
        <v>0</v>
      </c>
      <c r="J9" s="41"/>
    </row>
    <row r="10" spans="2:10" ht="15.5" x14ac:dyDescent="0.35">
      <c r="B10" t="s">
        <v>23</v>
      </c>
      <c r="C10" s="20" t="s">
        <v>29</v>
      </c>
      <c r="D10" s="5">
        <v>7</v>
      </c>
      <c r="E10" s="2">
        <f>SUMIFS('311&amp;313'!$I:$I, '311&amp;313'!$C:$C, "ME", '311&amp;313'!$M:$M, "2015-16")/100000</f>
        <v>7</v>
      </c>
      <c r="F10" s="2">
        <f>SUMIFS('311&amp;313'!$I:$I, '311&amp;313'!$C:$C, "ME", '311&amp;313'!$M:$M, "2016-17")/100000</f>
        <v>1</v>
      </c>
      <c r="G10" s="2">
        <f>SUMIFS('311&amp;313'!$I:$I, '311&amp;313'!$C:$C, "ME", '311&amp;313'!$M:$M, "2017-18")/100000</f>
        <v>3</v>
      </c>
      <c r="H10" s="2">
        <f>SUMIFS('311&amp;313'!$I:$I, '311&amp;313'!$C:$C, "ME", '311&amp;313'!$M:$M, "2018-19")/100000</f>
        <v>9.6173300000000008</v>
      </c>
      <c r="I10" s="2">
        <f>SUMIFS('311&amp;313'!$I:$I, '311&amp;313'!$C:$C, "ME", '311&amp;313'!$M:$M, "2019-20")/100000</f>
        <v>6.3</v>
      </c>
      <c r="J10" s="41"/>
    </row>
    <row r="11" spans="2:10" ht="15.5" x14ac:dyDescent="0.35">
      <c r="B11" t="s">
        <v>24</v>
      </c>
      <c r="C11" s="20" t="s">
        <v>30</v>
      </c>
      <c r="D11" s="5">
        <v>8</v>
      </c>
      <c r="E11" s="2">
        <f>SUMIFS('311&amp;313'!$I:$I, '311&amp;313'!$C:$C, "PE", '311&amp;313'!$M:$M, "2015-16")/100000</f>
        <v>0</v>
      </c>
      <c r="F11" s="2">
        <f>SUMIFS('311&amp;313'!$I:$I, '311&amp;313'!$C:$C, "PE", '311&amp;313'!$M:$M, "2016-17")/100000</f>
        <v>0</v>
      </c>
      <c r="G11" s="2">
        <f>SUMIFS('311&amp;313'!$I:$I, '311&amp;313'!$C:$C, "PE", '311&amp;313'!$M:$M, "2017-18")/100000</f>
        <v>0</v>
      </c>
      <c r="H11" s="2">
        <f>SUMIFS('311&amp;313'!$I:$I, '311&amp;313'!$C:$C, "PE", '311&amp;313'!$M:$M, "2018-19")/100000</f>
        <v>0</v>
      </c>
      <c r="I11" s="2">
        <f>SUMIFS('311&amp;313'!$I:$I, '311&amp;313'!$C:$C, "PE", '311&amp;313'!$M:$M, "2019-20")/100000</f>
        <v>0</v>
      </c>
      <c r="J11" s="41"/>
    </row>
    <row r="12" spans="2:10" ht="15.5" x14ac:dyDescent="0.35">
      <c r="B12" t="s">
        <v>31</v>
      </c>
      <c r="C12" s="20" t="s">
        <v>31</v>
      </c>
      <c r="D12" s="8">
        <v>9</v>
      </c>
      <c r="E12" s="2">
        <f>SUMIFS('311&amp;313'!$I:$I, '311&amp;313'!$C:$C, "MBA", '311&amp;313'!$M:$M, "2015-16")/100000</f>
        <v>0</v>
      </c>
      <c r="F12" s="2">
        <f>SUMIFS('311&amp;313'!$I:$I, '311&amp;313'!$C:$C, "MBA", '311&amp;313'!$M:$M, "2016-17")/100000</f>
        <v>0</v>
      </c>
      <c r="G12" s="2">
        <f>SUMIFS('311&amp;313'!$I:$I, '311&amp;313'!$C:$C, "MBA", '311&amp;313'!$M:$M, "2017-18")/100000</f>
        <v>0</v>
      </c>
      <c r="H12" s="2">
        <f>SUMIFS('311&amp;313'!$I:$I, '311&amp;313'!$C:$C, "MBA", '311&amp;313'!$M:$M, "2018-19")/100000</f>
        <v>0</v>
      </c>
      <c r="I12" s="2">
        <f>SUMIFS('311&amp;313'!$I:$I, '311&amp;313'!$C:$C, "MBA", '311&amp;313'!$M:$M, "2019-20")/100000</f>
        <v>0</v>
      </c>
      <c r="J12" s="42"/>
    </row>
    <row r="13" spans="2:10" ht="45" customHeight="1" x14ac:dyDescent="0.35">
      <c r="B13" t="s">
        <v>32</v>
      </c>
      <c r="C13" s="3" t="s">
        <v>33</v>
      </c>
      <c r="D13" s="3"/>
      <c r="E13" s="7">
        <f>COUNTIF(E4:E12, "&gt;0")</f>
        <v>1</v>
      </c>
      <c r="F13" s="7">
        <f t="shared" ref="F13:I13" si="0">COUNTIF(F4:F12, "&gt;0")</f>
        <v>1</v>
      </c>
      <c r="G13" s="7">
        <f t="shared" si="0"/>
        <v>1</v>
      </c>
      <c r="H13" s="7">
        <f t="shared" si="0"/>
        <v>1</v>
      </c>
      <c r="I13" s="7">
        <f t="shared" si="0"/>
        <v>1</v>
      </c>
      <c r="J13" s="6">
        <f>SUM(E13:I13)/D12</f>
        <v>0.55555555555555558</v>
      </c>
    </row>
  </sheetData>
  <mergeCells count="2">
    <mergeCell ref="C2:J2"/>
    <mergeCell ref="J3:J12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311&amp;313</vt:lpstr>
      <vt:lpstr>Summary 311</vt:lpstr>
      <vt:lpstr>Summary 313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Workshop</dc:creator>
  <cp:lastModifiedBy>anura</cp:lastModifiedBy>
  <dcterms:created xsi:type="dcterms:W3CDTF">2021-01-11T07:34:08Z</dcterms:created>
  <dcterms:modified xsi:type="dcterms:W3CDTF">2021-04-16T14:12:27Z</dcterms:modified>
</cp:coreProperties>
</file>